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760" windowHeight="63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'Sheet1'!$A$1:$L$287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<sst xmlns="http://schemas.openxmlformats.org/spreadsheetml/2006/main" count="175" uniqueCount="167">
  <si>
    <t>Worksheet Calculating the Costs of Stewardship and Defense of a Conservation Easement</t>
  </si>
  <si>
    <t>and the Endowment Needed to Support it</t>
  </si>
  <si>
    <t>Line numbers and column letters have been left in to aid in tracking the formulas if desired.</t>
  </si>
  <si>
    <t>A. Assumptions</t>
  </si>
  <si>
    <t xml:space="preserve"> </t>
  </si>
  <si>
    <t>1. Staff and Overhead Costs</t>
  </si>
  <si>
    <t>Annual salary (single parent, two children)</t>
  </si>
  <si>
    <t>Hours worked per year (50 wks x 40 hrs/wk less 7 holidays x 8 hrs/day)</t>
  </si>
  <si>
    <t>Salary per hour (annual salary / hours worked per year)</t>
  </si>
  <si>
    <t>Overhead / staff member / hour (benefits, rent, typing, phone, computer)</t>
  </si>
  <si>
    <t>2. Travel Costs for a Site Visit</t>
  </si>
  <si>
    <t xml:space="preserve">Average miles for a round trip (office to property and return) </t>
  </si>
  <si>
    <t>Average vehicular speed for entire trip</t>
  </si>
  <si>
    <t>Reimbursable travel expenses (lodging, parking, airplane flyover)</t>
  </si>
  <si>
    <t>3. Monitoring Costs</t>
  </si>
  <si>
    <t>Hard costs</t>
  </si>
  <si>
    <t>Film purchase and developing costs</t>
  </si>
  <si>
    <t>Cost of annual supplies</t>
  </si>
  <si>
    <t>Average long distance telephone costs/year</t>
  </si>
  <si>
    <t>Staff time for Monitoring</t>
  </si>
  <si>
    <t>Average pre-monitoring time</t>
  </si>
  <si>
    <t>Average time spent monitoring</t>
  </si>
  <si>
    <t xml:space="preserve">Average post-monitoring time </t>
  </si>
  <si>
    <t>Number of site visits required to review change per time</t>
  </si>
  <si>
    <t>5. Annual Landowner Relations</t>
  </si>
  <si>
    <t>Staff time needed for annual landowner relations</t>
  </si>
  <si>
    <t>Likely hard costs per landowner per year (e.g. newsletter, postage, etc.)</t>
  </si>
  <si>
    <t>6. Easement Violations</t>
  </si>
  <si>
    <t>Negotiations prior to obtaining counsel</t>
  </si>
  <si>
    <t>How often will negotiations be anticipated in a 20 year period?</t>
  </si>
  <si>
    <t>Therefore likelihood of negotiations in a 20 year period is:</t>
  </si>
  <si>
    <t>Average staff hours needed for negotiations to head off violation</t>
  </si>
  <si>
    <t>Number of site visits required to head off (stop) a violation</t>
  </si>
  <si>
    <t>7. Costs of defending an easement</t>
  </si>
  <si>
    <t>Staff time needed to defend an easement</t>
  </si>
  <si>
    <t>8. Endowment Assumptions</t>
  </si>
  <si>
    <t>Therefore the Treasury Bond rate less the  inflation rate is:</t>
  </si>
  <si>
    <t>B. Formulas</t>
  </si>
  <si>
    <r>
      <t>Commentary</t>
    </r>
    <r>
      <rPr>
        <i/>
        <sz val="8"/>
        <rFont val="Arial"/>
        <family val="2"/>
      </rPr>
      <t xml:space="preserve">:  The following computations are used to calculate the overall expenses for certain rates or </t>
    </r>
  </si>
  <si>
    <t>activities used in the final calculation.  Assumptions from Section A above are used in the formulas.</t>
  </si>
  <si>
    <t>1. Hourly staff rate (including overhead)</t>
  </si>
  <si>
    <t>Salary costs per hour</t>
  </si>
  <si>
    <t>Overhead costs per staff member per hour</t>
  </si>
  <si>
    <r>
      <t>Total</t>
    </r>
    <r>
      <rPr>
        <sz val="10"/>
        <rFont val="Arial"/>
        <family val="0"/>
      </rPr>
      <t>: Hourly staff rate</t>
    </r>
  </si>
  <si>
    <t>2. Travel Costs for Each Site Visit</t>
  </si>
  <si>
    <t>Mileage reimbursement: mileage x reimbursement rate</t>
  </si>
  <si>
    <t>Staff costs for travel time:</t>
  </si>
  <si>
    <t xml:space="preserve">   hourly staff rate x (mileage divided by average vehicular speed)</t>
  </si>
  <si>
    <t>Reimbursable travel expenses</t>
  </si>
  <si>
    <r>
      <t>Total</t>
    </r>
    <r>
      <rPr>
        <sz val="10"/>
        <rFont val="Arial"/>
        <family val="0"/>
      </rPr>
      <t>: Travel Costs for Each Site Visit</t>
    </r>
  </si>
  <si>
    <t>C. Annual Expenses</t>
  </si>
  <si>
    <t>1. Annual Monitoring Expenses</t>
  </si>
  <si>
    <t>Pre-monitoring staff costs: hourly staff rate x staff time needed</t>
  </si>
  <si>
    <t>Monitoring staff costs: hourly staff rate x staff time needed</t>
  </si>
  <si>
    <t>Monitoring: hard costs</t>
  </si>
  <si>
    <t>Post-monitoring staff costs: hourly staff rate x staff time needed</t>
  </si>
  <si>
    <t>Travel costs for each site visit (see formula #2 above)</t>
  </si>
  <si>
    <r>
      <t>Total</t>
    </r>
    <r>
      <rPr>
        <sz val="10"/>
        <rFont val="Arial"/>
        <family val="0"/>
      </rPr>
      <t xml:space="preserve"> Annual Monitoring Expenses</t>
    </r>
  </si>
  <si>
    <t>2. Annual Landowner Relations Costs</t>
  </si>
  <si>
    <t>Costs of staff time: hourly staff rate x hours needed</t>
  </si>
  <si>
    <t xml:space="preserve">Costs of supplies </t>
  </si>
  <si>
    <r>
      <t>Total</t>
    </r>
    <r>
      <rPr>
        <sz val="10"/>
        <rFont val="Arial"/>
        <family val="0"/>
      </rPr>
      <t xml:space="preserve"> Annual Landowner Relations Costs</t>
    </r>
  </si>
  <si>
    <t>3. Per Year Cost of Exercise of Reserved Rights</t>
  </si>
  <si>
    <t>Staff costs: hourly staff rate x hours needed</t>
  </si>
  <si>
    <t>Costs of exercise of reserved right every 20 years</t>
  </si>
  <si>
    <t>x percentage likelihood of right being exercised within 20 years)</t>
  </si>
  <si>
    <r>
      <t>Total</t>
    </r>
    <r>
      <rPr>
        <sz val="10"/>
        <rFont val="Arial"/>
        <family val="0"/>
      </rPr>
      <t>: Per year cost of exercise of reserved right</t>
    </r>
  </si>
  <si>
    <t xml:space="preserve">4. Per Year Cost of Negotiations Over Violations: </t>
  </si>
  <si>
    <t>Staff costs:  hourly staff rate x hours needed</t>
  </si>
  <si>
    <t>Cost of one negotiations over violations ever 20 years</t>
  </si>
  <si>
    <t>x percentage likelihood of negotiations within 20 years</t>
  </si>
  <si>
    <r>
      <t>Total</t>
    </r>
    <r>
      <rPr>
        <sz val="10"/>
        <rFont val="Arial"/>
        <family val="0"/>
      </rPr>
      <t>: Per year cost of negotiations</t>
    </r>
  </si>
  <si>
    <t>Total Annual Expenses</t>
  </si>
  <si>
    <t>D. Endowment Needed to Fund Annual Expenses</t>
  </si>
  <si>
    <t>a. pay for the annual monitoring costs</t>
  </si>
  <si>
    <t>Total Annual Costs (see above)</t>
  </si>
  <si>
    <r>
      <t>divided by</t>
    </r>
    <r>
      <rPr>
        <sz val="10"/>
        <rFont val="Arial"/>
        <family val="0"/>
      </rPr>
      <t xml:space="preserve"> the difference between Treasury Bond rate</t>
    </r>
  </si>
  <si>
    <t>and the interest rate (see assumption above where 4.0% = .040)</t>
  </si>
  <si>
    <r>
      <t>Total:</t>
    </r>
    <r>
      <rPr>
        <sz val="10"/>
        <rFont val="Arial"/>
        <family val="0"/>
      </rPr>
      <t xml:space="preserve"> Endowment Needed</t>
    </r>
  </si>
  <si>
    <t>E. Costs of Defending an Easement</t>
  </si>
  <si>
    <r>
      <t>Commentary:</t>
    </r>
    <r>
      <rPr>
        <i/>
        <sz val="8"/>
        <rFont val="Arial"/>
        <family val="2"/>
      </rPr>
      <t xml:space="preserve">  The better the relationship between the landowner and the land trust, the less likely the</t>
    </r>
  </si>
  <si>
    <t>two parties will ever have to go to court.  Each land trust must, however, recognize that even with the best</t>
  </si>
  <si>
    <t xml:space="preserve">efforts, sometimes it is necessary to go to court.  </t>
  </si>
  <si>
    <t>Staff time needed to defend an easement x hourly staff rate</t>
  </si>
  <si>
    <t>Additional costs</t>
  </si>
  <si>
    <r>
      <t>Total:</t>
    </r>
    <r>
      <rPr>
        <sz val="10"/>
        <rFont val="Arial"/>
        <family val="0"/>
      </rPr>
      <t xml:space="preserve"> Cost of Defending an Easement</t>
    </r>
  </si>
  <si>
    <t>F. Total Funds Needed to Accept, Monitor, and Defend the Easement</t>
  </si>
  <si>
    <t>Total: Stewardship Endowment Needed to Fund Annual Costs</t>
  </si>
  <si>
    <t>Total: Costs of Defending an Easement</t>
  </si>
  <si>
    <r>
      <t>Total:</t>
    </r>
    <r>
      <rPr>
        <sz val="10"/>
        <rFont val="Arial"/>
        <family val="0"/>
      </rPr>
      <t xml:space="preserve"> Funds needed to accept, monitor and defend the easement</t>
    </r>
  </si>
  <si>
    <t>Commentary:</t>
  </si>
  <si>
    <t>Difference between average Treasury Bond and interest rate</t>
  </si>
  <si>
    <t>Annual payout needed each year</t>
  </si>
  <si>
    <t>Total</t>
  </si>
  <si>
    <t>Annual</t>
  </si>
  <si>
    <t>Beginning</t>
  </si>
  <si>
    <t>Earned</t>
  </si>
  <si>
    <t>Monitoring</t>
  </si>
  <si>
    <t>Return to</t>
  </si>
  <si>
    <t>Ending</t>
  </si>
  <si>
    <t>Year</t>
  </si>
  <si>
    <t>Endowmnt</t>
  </si>
  <si>
    <t>Interest</t>
  </si>
  <si>
    <t>Costs</t>
  </si>
  <si>
    <t>Investment Return Analysis</t>
  </si>
  <si>
    <t>30 Yr US</t>
  </si>
  <si>
    <t>Consumer Price Index</t>
  </si>
  <si>
    <t>Treasury Bond Yield</t>
  </si>
  <si>
    <t>Urban Consumers</t>
  </si>
  <si>
    <t>Difference</t>
  </si>
  <si>
    <t>Average</t>
  </si>
  <si>
    <t>Sources:</t>
  </si>
  <si>
    <t>Treasury Bond Data:</t>
  </si>
  <si>
    <t>Federal Reserve Board</t>
  </si>
  <si>
    <t>Bureau of Labor Statistics</t>
  </si>
  <si>
    <t>[Name of] Conservation Easement</t>
  </si>
  <si>
    <t>4. Frequency of Exercise of Reserved Rights, Management Plan updates etc.</t>
  </si>
  <si>
    <t>How often will reserved rights etc. be exercised in a 20 year period?</t>
  </si>
  <si>
    <t>Therefore the likelihood of exercise of reserved right etc. in any</t>
  </si>
  <si>
    <t>one year is:</t>
  </si>
  <si>
    <t>Average staff hours needed for exercise of reserved rights etc. per time</t>
  </si>
  <si>
    <t>Average 30 year Treasury Bond rate of return:</t>
  </si>
  <si>
    <t>Name of Land Trust</t>
  </si>
  <si>
    <t>Consumer Price Index (not seasonally adjusted):</t>
  </si>
  <si>
    <r>
      <t>Commentary:</t>
    </r>
    <r>
      <rPr>
        <i/>
        <sz val="8"/>
        <rFont val="Arial"/>
        <family val="2"/>
      </rPr>
      <t xml:space="preserve"> The derivation of these numbers is shown on the last page of this spreadsheet.</t>
    </r>
  </si>
  <si>
    <t>Average 30 year Treasury Bond rate of return</t>
  </si>
  <si>
    <t>Average inflation rate</t>
  </si>
  <si>
    <r>
      <t>Commentary:</t>
    </r>
    <r>
      <rPr>
        <i/>
        <sz val="8"/>
        <rFont val="Arial"/>
        <family val="2"/>
      </rPr>
      <t>These numbers are estimates.  See Section E. below for explanation.</t>
    </r>
  </si>
  <si>
    <r>
      <t>Commentary:</t>
    </r>
    <r>
      <rPr>
        <i/>
        <sz val="8"/>
        <rFont val="Arial"/>
        <family val="2"/>
      </rPr>
      <t xml:space="preserve">  Only those costs associated with travelling to and from an easement have been</t>
    </r>
  </si>
  <si>
    <t>calculated here.</t>
  </si>
  <si>
    <t>an easement based on the assumptions and formulas above.  Please refer back to the</t>
  </si>
  <si>
    <t>assumptions in Section A or the formulas in Section B above for clarification.</t>
  </si>
  <si>
    <r>
      <t>Commentary:</t>
    </r>
    <r>
      <rPr>
        <i/>
        <sz val="8"/>
        <rFont val="Arial"/>
        <family val="2"/>
      </rPr>
      <t xml:space="preserve">  The following summary of expenses adds up to the annual cost of monitoring</t>
    </r>
  </si>
  <si>
    <r>
      <t xml:space="preserve">Commentary: </t>
    </r>
    <r>
      <rPr>
        <i/>
        <sz val="8"/>
        <rFont val="Arial"/>
        <family val="2"/>
      </rPr>
      <t>The numbers in Section A are designed specifically for this easement specifically</t>
    </r>
  </si>
  <si>
    <t>and are called the Assumptions.  These assumptions are estimates drawn from experience.</t>
  </si>
  <si>
    <t>Average inflation rate for a 20 year period:</t>
  </si>
  <si>
    <t>Note: 30 Year Bonds were not issued from 2003 through 2005</t>
  </si>
  <si>
    <t>Note:</t>
  </si>
  <si>
    <t>I assumed a declining rate from the 2002 level of 5.4% to the 2006 level of 4.9%.</t>
  </si>
  <si>
    <t xml:space="preserve">  See note below:</t>
  </si>
  <si>
    <t>30 Year Bonds were not issued from 2003 through 2005.  For purposes of this calculation,</t>
  </si>
  <si>
    <t>Reimbursement per mile (as of 01.01.11 - http://www.gsa.gov/portal/content/100715)</t>
  </si>
  <si>
    <t>Approximate cost of defending an easement per LTA CE Defense Summary</t>
  </si>
  <si>
    <t>Additional costs  (estimate not based on any study)</t>
  </si>
  <si>
    <t>as seen in this section can run higher.  The more easements a land trust holds, the more the risk</t>
  </si>
  <si>
    <t xml:space="preserve">of legal action is spread but the likelihood of a violation on any one property increases.  </t>
  </si>
  <si>
    <t>From the assumptions, it costs almost $40,000 per legal action.   However the total costs</t>
  </si>
  <si>
    <t>Legal representation</t>
  </si>
  <si>
    <t>Amount needed to accumulate sufficient funds to defend one violation</t>
  </si>
  <si>
    <t>divided by 20 (a hypothetical number of easements)</t>
  </si>
  <si>
    <r>
      <t xml:space="preserve">Commentary:  </t>
    </r>
    <r>
      <rPr>
        <i/>
        <sz val="8"/>
        <rFont val="Arial"/>
        <family val="2"/>
      </rPr>
      <t xml:space="preserve">The following calucation gives the size of the endowment necessary to spin off </t>
    </r>
  </si>
  <si>
    <t>enough interest to:</t>
  </si>
  <si>
    <t>b. reinvest sufficient monies so the endowment will grow sufficiently  to compensate for the</t>
  </si>
  <si>
    <t>effects of inflation.</t>
  </si>
  <si>
    <t>Using the numbers below, assume that a secure investment will produce an average of 6.69% in</t>
  </si>
  <si>
    <t>interest each year.  In this example, 2.79% interest is needed to fund your monitoring program.</t>
  </si>
  <si>
    <t>compensate for the historical effects of inflation.  See computation below for illustration.</t>
  </si>
  <si>
    <t>The remaining 3.9% (6.69 less 2.79) should be plowed back into your investments in order to</t>
  </si>
  <si>
    <r>
      <t>Total</t>
    </r>
    <r>
      <rPr>
        <sz val="10"/>
        <rFont val="Arial"/>
        <family val="0"/>
      </rPr>
      <t>: Contributionadded to Easement Defense Fund</t>
    </r>
  </si>
  <si>
    <t>Demonstration that, in this scenario, the combined monitoring and</t>
  </si>
  <si>
    <t>as of July 1, 2011</t>
  </si>
  <si>
    <t>adequately keep pace with inflation.</t>
  </si>
  <si>
    <t>defense endowment will grow over time.  But because currently the</t>
  </si>
  <si>
    <t>average interest rates are low, over time the endowment will not</t>
  </si>
  <si>
    <t>average of last 20 years</t>
  </si>
  <si>
    <t xml:space="preserve">    source: http://www.federalreserve.gov/releases/h15/data.htm</t>
  </si>
  <si>
    <t xml:space="preserve">    source:http://data.bls.gov/pdq/SurveyOutputServlet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</si>
</sst>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$&quot;#,##0.00"/>
    <numFmt numFmtId="174" formatCode="0.0%"/>
    <numFmt numFmtId="175" formatCode="#,##0.0"/>
    <numFmt numFmtId="176" formatCode="&quot;$&quot;#,##0"/>
    <numFmt numFmtId="177" formatCode="0.000"/>
    <numFmt numFmtId="178" formatCode="&quot;$&quot;#,##0.000"/>
    <numFmt numFmtId="179" formatCode="#,##0.000"/>
    <numFmt numFmtId="180" formatCode="0.0"/>
    <numFmt numFmtId="181" formatCode="#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Mezz Black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9" fontId="4" fillId="0" borderId="0" xfId="0" applyNumberFormat="1" applyFont="1" applyAlignment="1">
      <alignment/>
    </xf>
    <xf numFmtId="0" fontId="2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7" fontId="4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0" fontId="10" fillId="0" borderId="0" xfId="0" applyFont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Continuous"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5" fillId="0" borderId="0" xfId="0" applyFont="1" applyAlignment="1">
      <alignment horizontal="centerContinuous"/>
    </xf>
    <xf numFmtId="181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Alignment="1">
      <alignment horizontal="right"/>
    </xf>
    <xf numFmtId="181" fontId="16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0" applyFont="1" applyBorder="1" applyAlignment="1">
      <alignment horizontal="center" wrapText="1"/>
    </xf>
    <xf numFmtId="174" fontId="17" fillId="0" borderId="0" xfId="0" applyNumberFormat="1" applyFont="1" applyAlignment="1">
      <alignment/>
    </xf>
    <xf numFmtId="174" fontId="16" fillId="0" borderId="0" xfId="0" applyNumberFormat="1" applyFont="1" applyBorder="1" applyAlignment="1">
      <alignment horizontal="right"/>
    </xf>
    <xf numFmtId="174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74" fontId="18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showRowColHeaders="0" tabSelected="1" zoomScale="150" zoomScaleNormal="150" zoomScalePageLayoutView="0" workbookViewId="0" topLeftCell="A88">
      <selection activeCell="K38" sqref="K38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4" width="5.28125" style="0" customWidth="1"/>
    <col min="5" max="5" width="9.421875" style="0" customWidth="1"/>
    <col min="9" max="9" width="9.421875" style="0" customWidth="1"/>
    <col min="10" max="10" width="9.00390625" style="0" customWidth="1"/>
    <col min="11" max="11" width="10.7109375" style="0" customWidth="1"/>
    <col min="12" max="12" width="4.7109375" style="0" customWidth="1"/>
  </cols>
  <sheetData>
    <row r="1" spans="2:14" ht="23.25" customHeight="1">
      <c r="B1" s="47" t="s">
        <v>122</v>
      </c>
      <c r="C1" s="14"/>
      <c r="D1" s="14"/>
      <c r="E1" s="14"/>
      <c r="F1" s="14"/>
      <c r="G1" s="14"/>
      <c r="H1" s="14"/>
      <c r="I1" s="14"/>
      <c r="J1" s="14"/>
      <c r="K1" s="14"/>
      <c r="L1" s="2"/>
      <c r="M1" s="2"/>
      <c r="N1" s="2"/>
    </row>
    <row r="2" spans="2:11" ht="10.5" customHeight="1"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2:11" ht="12.7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</row>
    <row r="4" spans="2:11" ht="12" customHeight="1">
      <c r="B4" s="13" t="s">
        <v>1</v>
      </c>
      <c r="C4" s="13"/>
      <c r="D4" s="13"/>
      <c r="E4" s="13"/>
      <c r="F4" s="13"/>
      <c r="G4" s="13"/>
      <c r="H4" s="13"/>
      <c r="I4" s="27"/>
      <c r="J4" s="27"/>
      <c r="K4" s="27"/>
    </row>
    <row r="5" spans="2:11" ht="12" customHeight="1">
      <c r="B5" s="13"/>
      <c r="C5" s="13"/>
      <c r="D5" s="13"/>
      <c r="E5" s="13"/>
      <c r="F5" s="13"/>
      <c r="G5" s="58" t="s">
        <v>160</v>
      </c>
      <c r="H5" s="13"/>
      <c r="I5" s="27"/>
      <c r="J5" s="27"/>
      <c r="K5" s="27"/>
    </row>
    <row r="6" spans="2:11" ht="12" customHeight="1">
      <c r="B6" s="35" t="s">
        <v>2</v>
      </c>
      <c r="C6" s="13"/>
      <c r="D6" s="13"/>
      <c r="E6" s="13"/>
      <c r="F6" s="13"/>
      <c r="G6" s="13"/>
      <c r="H6" s="13"/>
      <c r="I6" s="27"/>
      <c r="J6" s="27"/>
      <c r="K6" s="27"/>
    </row>
    <row r="7" spans="2:11" ht="12" customHeight="1">
      <c r="B7" s="13"/>
      <c r="C7" s="13"/>
      <c r="D7" s="13"/>
      <c r="E7" s="13"/>
      <c r="F7" s="13"/>
      <c r="G7" s="13"/>
      <c r="H7" s="13"/>
      <c r="I7" s="27"/>
      <c r="J7" s="27"/>
      <c r="K7" s="27"/>
    </row>
    <row r="8" spans="2:11" ht="18">
      <c r="B8" s="28" t="s">
        <v>115</v>
      </c>
      <c r="C8" s="28"/>
      <c r="D8" s="28"/>
      <c r="E8" s="28"/>
      <c r="F8" s="28"/>
      <c r="G8" s="28"/>
      <c r="H8" s="27"/>
      <c r="I8" s="27"/>
      <c r="J8" s="27"/>
      <c r="K8" s="27"/>
    </row>
    <row r="9" spans="2:11" ht="12.75">
      <c r="B9" s="12"/>
      <c r="K9" s="3"/>
    </row>
    <row r="10" spans="2:11" ht="18">
      <c r="B10" s="18" t="s">
        <v>3</v>
      </c>
      <c r="C10" s="16"/>
      <c r="D10" s="16"/>
      <c r="E10" s="16"/>
      <c r="K10" s="4"/>
    </row>
    <row r="11" spans="2:11" ht="12.75" customHeight="1">
      <c r="B11" s="18"/>
      <c r="C11" s="16"/>
      <c r="D11" s="16"/>
      <c r="E11" s="16"/>
      <c r="K11" s="4"/>
    </row>
    <row r="12" spans="2:11" ht="12.75">
      <c r="B12" s="20" t="s">
        <v>4</v>
      </c>
      <c r="C12" s="36" t="s">
        <v>133</v>
      </c>
      <c r="D12" s="20"/>
      <c r="E12" s="20"/>
      <c r="K12" s="4"/>
    </row>
    <row r="13" spans="3:11" ht="12.75">
      <c r="C13" s="37" t="s">
        <v>134</v>
      </c>
      <c r="D13" s="20"/>
      <c r="E13" s="20"/>
      <c r="F13" s="20"/>
      <c r="G13" s="20"/>
      <c r="H13" s="20"/>
      <c r="I13" s="20"/>
      <c r="K13" s="4"/>
    </row>
    <row r="14" spans="3:11" ht="12.75">
      <c r="C14" s="20"/>
      <c r="D14" s="20"/>
      <c r="E14" s="20"/>
      <c r="F14" s="20"/>
      <c r="G14" s="20"/>
      <c r="H14" s="20"/>
      <c r="I14" s="20"/>
      <c r="K14" s="4"/>
    </row>
    <row r="15" spans="2:11" ht="12.75">
      <c r="B15" s="1" t="s">
        <v>5</v>
      </c>
      <c r="K15" s="4"/>
    </row>
    <row r="16" ht="12.75">
      <c r="K16" s="4"/>
    </row>
    <row r="17" spans="3:11" ht="12.75">
      <c r="C17" t="s">
        <v>6</v>
      </c>
      <c r="K17" s="8">
        <v>35000</v>
      </c>
    </row>
    <row r="18" spans="3:11" ht="12.75">
      <c r="C18" t="s">
        <v>7</v>
      </c>
      <c r="K18" s="6">
        <f>50*40-(7*8)</f>
        <v>1944</v>
      </c>
    </row>
    <row r="19" spans="3:11" ht="12.75">
      <c r="C19" t="s">
        <v>8</v>
      </c>
      <c r="K19" s="40">
        <f>+K17/K18</f>
        <v>18.004115226337447</v>
      </c>
    </row>
    <row r="20" spans="3:11" ht="12.75">
      <c r="C20" t="s">
        <v>9</v>
      </c>
      <c r="K20" s="40">
        <v>10</v>
      </c>
    </row>
    <row r="21" ht="12.75">
      <c r="K21" s="5"/>
    </row>
    <row r="22" spans="2:11" ht="12.75">
      <c r="B22" s="1" t="s">
        <v>10</v>
      </c>
      <c r="K22" s="5"/>
    </row>
    <row r="23" ht="12.75">
      <c r="K23" s="5"/>
    </row>
    <row r="24" spans="3:11" ht="12.75">
      <c r="C24" t="s">
        <v>141</v>
      </c>
      <c r="K24" s="40">
        <v>0.51</v>
      </c>
    </row>
    <row r="25" spans="3:11" ht="12.75">
      <c r="C25" t="s">
        <v>11</v>
      </c>
      <c r="K25" s="6">
        <v>100</v>
      </c>
    </row>
    <row r="26" spans="3:11" ht="12.75">
      <c r="C26" t="s">
        <v>12</v>
      </c>
      <c r="K26" s="6">
        <v>45</v>
      </c>
    </row>
    <row r="27" spans="3:11" ht="12.75">
      <c r="C27" t="s">
        <v>13</v>
      </c>
      <c r="K27" s="8">
        <v>0</v>
      </c>
    </row>
    <row r="28" ht="12.75">
      <c r="K28" s="5"/>
    </row>
    <row r="29" spans="2:11" ht="12.75">
      <c r="B29" s="1" t="s">
        <v>14</v>
      </c>
      <c r="K29" s="5"/>
    </row>
    <row r="30" ht="12.75">
      <c r="K30" s="5"/>
    </row>
    <row r="31" spans="3:11" ht="12.75">
      <c r="C31" t="s">
        <v>15</v>
      </c>
      <c r="K31" s="5"/>
    </row>
    <row r="32" spans="4:11" ht="12.75">
      <c r="D32" t="s">
        <v>16</v>
      </c>
      <c r="K32" s="8">
        <v>16</v>
      </c>
    </row>
    <row r="33" spans="4:11" ht="12.75">
      <c r="D33" t="s">
        <v>17</v>
      </c>
      <c r="K33" s="8">
        <v>3</v>
      </c>
    </row>
    <row r="34" spans="4:11" ht="12.75">
      <c r="D34" t="s">
        <v>18</v>
      </c>
      <c r="K34" s="8">
        <v>4</v>
      </c>
    </row>
    <row r="35" spans="3:11" ht="12.75">
      <c r="C35" t="s">
        <v>19</v>
      </c>
      <c r="K35" s="5"/>
    </row>
    <row r="36" spans="4:11" ht="12.75">
      <c r="D36" t="s">
        <v>20</v>
      </c>
      <c r="K36" s="6">
        <v>1</v>
      </c>
    </row>
    <row r="37" spans="4:11" ht="12.75">
      <c r="D37" t="s">
        <v>21</v>
      </c>
      <c r="K37" s="6">
        <v>2</v>
      </c>
    </row>
    <row r="38" spans="4:11" ht="12.75">
      <c r="D38" t="s">
        <v>22</v>
      </c>
      <c r="K38" s="6">
        <v>3</v>
      </c>
    </row>
    <row r="39" ht="12.75">
      <c r="K39" s="6"/>
    </row>
    <row r="40" spans="2:11" ht="12.75">
      <c r="B40" s="1" t="s">
        <v>116</v>
      </c>
      <c r="K40" s="5"/>
    </row>
    <row r="41" ht="12.75">
      <c r="K41" s="5"/>
    </row>
    <row r="42" spans="3:11" ht="12.75">
      <c r="C42" t="s">
        <v>117</v>
      </c>
      <c r="K42" s="7">
        <v>1</v>
      </c>
    </row>
    <row r="43" spans="4:11" ht="12.75">
      <c r="D43" t="s">
        <v>118</v>
      </c>
      <c r="K43" s="9"/>
    </row>
    <row r="44" spans="4:11" ht="12.75">
      <c r="D44" t="s">
        <v>119</v>
      </c>
      <c r="K44" s="9">
        <f>+K42/20</f>
        <v>0.05</v>
      </c>
    </row>
    <row r="45" spans="3:11" ht="12.75">
      <c r="C45" t="s">
        <v>120</v>
      </c>
      <c r="K45" s="7">
        <v>20</v>
      </c>
    </row>
    <row r="46" spans="3:11" ht="12.75">
      <c r="C46" t="s">
        <v>23</v>
      </c>
      <c r="K46" s="7">
        <v>1</v>
      </c>
    </row>
    <row r="47" ht="12.75">
      <c r="K47" s="7"/>
    </row>
    <row r="48" spans="2:11" ht="12.75">
      <c r="B48" s="1" t="s">
        <v>24</v>
      </c>
      <c r="K48" s="5"/>
    </row>
    <row r="49" ht="12.75">
      <c r="K49" s="5"/>
    </row>
    <row r="50" spans="3:11" ht="12.75">
      <c r="C50" t="s">
        <v>25</v>
      </c>
      <c r="K50" s="6">
        <v>2</v>
      </c>
    </row>
    <row r="51" spans="3:11" ht="12.75">
      <c r="C51" t="s">
        <v>26</v>
      </c>
      <c r="K51" s="8">
        <v>5</v>
      </c>
    </row>
    <row r="52" ht="12.75">
      <c r="K52" s="5"/>
    </row>
    <row r="53" spans="2:11" ht="12.75">
      <c r="B53" s="1"/>
      <c r="K53" s="5"/>
    </row>
    <row r="54" spans="2:11" ht="12.75">
      <c r="B54" s="1" t="s">
        <v>27</v>
      </c>
      <c r="K54" s="5"/>
    </row>
    <row r="55" ht="12.75">
      <c r="K55" s="5"/>
    </row>
    <row r="56" spans="3:11" ht="12.75">
      <c r="C56" t="s">
        <v>28</v>
      </c>
      <c r="K56" s="5"/>
    </row>
    <row r="57" spans="4:11" ht="12.75">
      <c r="D57" t="s">
        <v>29</v>
      </c>
      <c r="K57" s="6">
        <v>1</v>
      </c>
    </row>
    <row r="58" spans="5:11" ht="12.75">
      <c r="E58" t="s">
        <v>30</v>
      </c>
      <c r="K58" s="9">
        <f>+K57/20</f>
        <v>0.05</v>
      </c>
    </row>
    <row r="59" spans="4:11" ht="12.75">
      <c r="D59" t="s">
        <v>31</v>
      </c>
      <c r="K59" s="10">
        <v>20</v>
      </c>
    </row>
    <row r="60" spans="4:11" ht="12.75">
      <c r="D60" t="s">
        <v>32</v>
      </c>
      <c r="K60" s="10">
        <v>1</v>
      </c>
    </row>
    <row r="61" ht="12.75">
      <c r="K61" s="10"/>
    </row>
    <row r="62" spans="2:11" ht="12.75">
      <c r="B62" s="1" t="s">
        <v>33</v>
      </c>
      <c r="C62" s="1"/>
      <c r="D62" s="1"/>
      <c r="E62" s="1"/>
      <c r="F62" s="1"/>
      <c r="G62" s="1"/>
      <c r="K62" s="5"/>
    </row>
    <row r="63" spans="2:11" ht="12.75">
      <c r="B63" s="1"/>
      <c r="C63" s="36" t="s">
        <v>127</v>
      </c>
      <c r="D63" s="1"/>
      <c r="E63" s="1"/>
      <c r="F63" s="1"/>
      <c r="G63" s="1"/>
      <c r="K63" s="5"/>
    </row>
    <row r="64" spans="2:11" ht="12.75">
      <c r="B64" s="1"/>
      <c r="C64" s="1"/>
      <c r="D64" s="1"/>
      <c r="E64" s="1"/>
      <c r="F64" s="1"/>
      <c r="G64" s="1"/>
      <c r="K64" s="5"/>
    </row>
    <row r="65" spans="3:11" ht="12.75">
      <c r="C65" t="s">
        <v>34</v>
      </c>
      <c r="K65" s="6">
        <v>60</v>
      </c>
    </row>
    <row r="66" spans="3:11" ht="12.75">
      <c r="C66" t="s">
        <v>142</v>
      </c>
      <c r="K66" s="8">
        <v>40000</v>
      </c>
    </row>
    <row r="67" spans="3:11" ht="12.75">
      <c r="C67" t="s">
        <v>143</v>
      </c>
      <c r="K67" s="8">
        <v>0</v>
      </c>
    </row>
    <row r="68" ht="12.75">
      <c r="K68" s="5"/>
    </row>
    <row r="69" spans="2:11" ht="12.75">
      <c r="B69" s="1" t="s">
        <v>35</v>
      </c>
      <c r="K69" s="5"/>
    </row>
    <row r="70" spans="3:11" ht="12.75">
      <c r="C70" s="36" t="s">
        <v>124</v>
      </c>
      <c r="K70" s="5"/>
    </row>
    <row r="71" spans="3:11" ht="12.75">
      <c r="C71" s="36"/>
      <c r="K71" s="5"/>
    </row>
    <row r="72" spans="3:11" ht="12.75">
      <c r="C72" t="s">
        <v>125</v>
      </c>
      <c r="K72" s="46">
        <f>+E272</f>
        <v>0.06687692307692308</v>
      </c>
    </row>
    <row r="73" spans="3:11" ht="12.75">
      <c r="C73" t="s">
        <v>126</v>
      </c>
      <c r="K73" s="46">
        <f>+H272</f>
        <v>0.027850000000000014</v>
      </c>
    </row>
    <row r="74" spans="4:11" ht="12.75">
      <c r="D74" t="s">
        <v>36</v>
      </c>
      <c r="K74" s="46">
        <f>+K72-K73</f>
        <v>0.03902692307692307</v>
      </c>
    </row>
    <row r="75" ht="12.75">
      <c r="K75" s="11"/>
    </row>
    <row r="76" ht="12.75">
      <c r="K76" s="11"/>
    </row>
    <row r="77" spans="2:11" ht="18">
      <c r="B77" s="18" t="s">
        <v>37</v>
      </c>
      <c r="K77" s="3"/>
    </row>
    <row r="78" spans="2:11" ht="12.75" customHeight="1">
      <c r="B78" s="18"/>
      <c r="K78" s="3"/>
    </row>
    <row r="79" spans="2:11" ht="12.75">
      <c r="B79" s="20"/>
      <c r="C79" s="36" t="s">
        <v>38</v>
      </c>
      <c r="D79" s="20"/>
      <c r="E79" s="20"/>
      <c r="K79" s="5"/>
    </row>
    <row r="80" spans="3:10" ht="12.75">
      <c r="C80" s="37" t="s">
        <v>39</v>
      </c>
      <c r="E80" s="20"/>
      <c r="F80" s="20"/>
      <c r="G80" s="20"/>
      <c r="H80" s="20"/>
      <c r="I80" s="20"/>
      <c r="J80" s="20"/>
    </row>
    <row r="81" ht="12.75">
      <c r="K81" s="5"/>
    </row>
    <row r="82" spans="2:11" ht="12.75">
      <c r="B82" s="1" t="s">
        <v>40</v>
      </c>
      <c r="K82" s="5"/>
    </row>
    <row r="83" ht="12.75">
      <c r="K83" s="5"/>
    </row>
    <row r="84" spans="3:11" ht="12.75">
      <c r="C84" t="s">
        <v>41</v>
      </c>
      <c r="K84" s="41">
        <f>+K19</f>
        <v>18.004115226337447</v>
      </c>
    </row>
    <row r="85" spans="3:11" ht="12.75">
      <c r="C85" t="s">
        <v>42</v>
      </c>
      <c r="K85" s="42">
        <f>+K20</f>
        <v>10</v>
      </c>
    </row>
    <row r="86" spans="4:11" ht="12.75">
      <c r="D86" s="1" t="s">
        <v>43</v>
      </c>
      <c r="K86" s="41">
        <f>+K84+K85</f>
        <v>28.004115226337447</v>
      </c>
    </row>
    <row r="87" spans="4:11" ht="12.75">
      <c r="D87" s="1"/>
      <c r="K87" s="8"/>
    </row>
    <row r="88" spans="2:11" ht="12.75">
      <c r="B88" s="1" t="s">
        <v>44</v>
      </c>
      <c r="K88" s="4"/>
    </row>
    <row r="89" spans="2:11" ht="12.75">
      <c r="B89" s="1"/>
      <c r="C89" s="39" t="s">
        <v>128</v>
      </c>
      <c r="K89" s="4"/>
    </row>
    <row r="90" spans="2:11" ht="12.75">
      <c r="B90" s="1"/>
      <c r="C90" s="37" t="s">
        <v>129</v>
      </c>
      <c r="K90" s="4"/>
    </row>
    <row r="91" ht="12.75">
      <c r="K91" s="4"/>
    </row>
    <row r="92" spans="3:11" ht="12.75">
      <c r="C92" t="s">
        <v>45</v>
      </c>
      <c r="K92" s="8">
        <f>+K24*K25</f>
        <v>51</v>
      </c>
    </row>
    <row r="93" spans="3:11" ht="12.75">
      <c r="C93" t="s">
        <v>46</v>
      </c>
      <c r="K93" s="4"/>
    </row>
    <row r="94" spans="3:11" ht="12.75">
      <c r="C94" t="s">
        <v>47</v>
      </c>
      <c r="K94" s="40">
        <f>+(K25/K26)*K86</f>
        <v>62.23136716963877</v>
      </c>
    </row>
    <row r="95" spans="3:11" ht="12.75">
      <c r="C95" t="s">
        <v>48</v>
      </c>
      <c r="K95" s="21">
        <f>+K27</f>
        <v>0</v>
      </c>
    </row>
    <row r="96" spans="2:11" ht="12.75">
      <c r="B96" t="s">
        <v>4</v>
      </c>
      <c r="D96" s="1" t="s">
        <v>49</v>
      </c>
      <c r="K96" s="8">
        <f>SUM(K92:K95)</f>
        <v>113.23136716963877</v>
      </c>
    </row>
    <row r="97" ht="12.75">
      <c r="K97" s="4"/>
    </row>
    <row r="98" ht="12.75">
      <c r="K98" s="4"/>
    </row>
    <row r="99" spans="2:5" ht="18">
      <c r="B99" s="18" t="s">
        <v>50</v>
      </c>
      <c r="C99" s="16"/>
      <c r="D99" s="16"/>
      <c r="E99" s="16"/>
    </row>
    <row r="100" spans="1:5" ht="12.75" customHeight="1">
      <c r="A100" s="38"/>
      <c r="B100" s="18"/>
      <c r="C100" s="16"/>
      <c r="D100" s="16"/>
      <c r="E100" s="16"/>
    </row>
    <row r="101" spans="2:5" ht="12.75">
      <c r="B101" s="20"/>
      <c r="C101" s="36" t="s">
        <v>132</v>
      </c>
      <c r="D101" s="20"/>
      <c r="E101" s="20"/>
    </row>
    <row r="102" ht="12.75">
      <c r="C102" s="37" t="s">
        <v>130</v>
      </c>
    </row>
    <row r="103" ht="12.75">
      <c r="C103" s="37" t="s">
        <v>131</v>
      </c>
    </row>
    <row r="105" ht="12.75">
      <c r="B105" s="1" t="s">
        <v>51</v>
      </c>
    </row>
    <row r="107" spans="3:11" ht="12.75">
      <c r="C107" t="s">
        <v>52</v>
      </c>
      <c r="K107" s="8">
        <f>+K86*K36</f>
        <v>28.004115226337447</v>
      </c>
    </row>
    <row r="108" spans="3:11" ht="12.75">
      <c r="C108" t="s">
        <v>53</v>
      </c>
      <c r="K108" s="8">
        <f>+K86*K37</f>
        <v>56.008230452674894</v>
      </c>
    </row>
    <row r="109" spans="3:11" ht="12.75">
      <c r="C109" t="s">
        <v>54</v>
      </c>
      <c r="K109" s="8">
        <f>+K32+K33+K34</f>
        <v>23</v>
      </c>
    </row>
    <row r="110" spans="3:11" ht="12.75">
      <c r="C110" t="s">
        <v>55</v>
      </c>
      <c r="K110" s="8">
        <f>+K86*K38</f>
        <v>84.01234567901234</v>
      </c>
    </row>
    <row r="111" spans="3:11" ht="12.75">
      <c r="C111" t="s">
        <v>56</v>
      </c>
      <c r="K111" s="21">
        <f>+K96</f>
        <v>113.23136716963877</v>
      </c>
    </row>
    <row r="112" spans="4:11" ht="12.75">
      <c r="D112" s="1" t="s">
        <v>57</v>
      </c>
      <c r="K112" s="8">
        <f>SUM(K107:K111)</f>
        <v>304.25605852766347</v>
      </c>
    </row>
    <row r="114" ht="12.75">
      <c r="B114" s="1" t="s">
        <v>58</v>
      </c>
    </row>
    <row r="116" spans="3:11" ht="12.75">
      <c r="C116" t="s">
        <v>59</v>
      </c>
      <c r="K116" s="8">
        <f>+K86*K50</f>
        <v>56.008230452674894</v>
      </c>
    </row>
    <row r="117" spans="3:11" ht="12.75">
      <c r="C117" t="s">
        <v>60</v>
      </c>
      <c r="K117" s="21">
        <f>+K51</f>
        <v>5</v>
      </c>
    </row>
    <row r="118" spans="4:11" ht="12.75">
      <c r="D118" s="1" t="s">
        <v>61</v>
      </c>
      <c r="K118" s="8">
        <f>SUM(K116:K117)</f>
        <v>61.008230452674894</v>
      </c>
    </row>
    <row r="120" ht="12.75">
      <c r="B120" s="1" t="s">
        <v>62</v>
      </c>
    </row>
    <row r="121" ht="12.75">
      <c r="B121" s="1"/>
    </row>
    <row r="122" spans="2:11" ht="12.75">
      <c r="B122" s="1"/>
      <c r="C122" t="s">
        <v>63</v>
      </c>
      <c r="K122" s="8">
        <f>+K86*K45</f>
        <v>560.0823045267489</v>
      </c>
    </row>
    <row r="123" spans="2:11" ht="12.75">
      <c r="B123" s="1"/>
      <c r="C123" t="s">
        <v>56</v>
      </c>
      <c r="K123" s="21">
        <f>+K96</f>
        <v>113.23136716963877</v>
      </c>
    </row>
    <row r="124" spans="2:11" ht="12.75">
      <c r="B124" s="1"/>
      <c r="D124" t="s">
        <v>64</v>
      </c>
      <c r="K124" s="8">
        <f>SUM(K122:K123)</f>
        <v>673.3136716963877</v>
      </c>
    </row>
    <row r="125" spans="2:11" ht="12.75">
      <c r="B125" s="1"/>
      <c r="D125" t="s">
        <v>65</v>
      </c>
      <c r="K125" s="19">
        <f>+K44</f>
        <v>0.05</v>
      </c>
    </row>
    <row r="126" spans="2:11" ht="12.75">
      <c r="B126" s="1"/>
      <c r="D126" s="1" t="s">
        <v>66</v>
      </c>
      <c r="K126" s="8">
        <f>+K124*K125</f>
        <v>33.665683584819384</v>
      </c>
    </row>
    <row r="127" spans="2:11" ht="12.75">
      <c r="B127" s="1"/>
      <c r="D127" s="1"/>
      <c r="K127" s="8"/>
    </row>
    <row r="128" ht="12.75">
      <c r="B128" s="1" t="s">
        <v>67</v>
      </c>
    </row>
    <row r="130" spans="3:11" ht="12.75">
      <c r="C130" t="s">
        <v>68</v>
      </c>
      <c r="K130" s="8">
        <f>+K86*K59</f>
        <v>560.0823045267489</v>
      </c>
    </row>
    <row r="131" spans="3:11" ht="12.75">
      <c r="C131" t="s">
        <v>56</v>
      </c>
      <c r="K131" s="21">
        <f>+K96</f>
        <v>113.23136716963877</v>
      </c>
    </row>
    <row r="132" spans="4:11" ht="12.75">
      <c r="D132" t="s">
        <v>69</v>
      </c>
      <c r="K132" s="22">
        <f>SUM(K130:K131)</f>
        <v>673.3136716963877</v>
      </c>
    </row>
    <row r="133" spans="3:11" ht="12.75">
      <c r="C133" t="s">
        <v>70</v>
      </c>
      <c r="K133" s="19">
        <f>+K58</f>
        <v>0.05</v>
      </c>
    </row>
    <row r="134" spans="4:11" ht="12.75">
      <c r="D134" s="1" t="s">
        <v>71</v>
      </c>
      <c r="E134" s="1"/>
      <c r="K134" s="8">
        <f>+K132*K133</f>
        <v>33.665683584819384</v>
      </c>
    </row>
    <row r="135" ht="12.75">
      <c r="K135" s="8"/>
    </row>
    <row r="136" spans="2:11" ht="12.75">
      <c r="B136" s="1" t="s">
        <v>72</v>
      </c>
      <c r="K136" s="8">
        <f>+K112+K118+K126+K134</f>
        <v>432.5956561499771</v>
      </c>
    </row>
    <row r="137" spans="2:11" ht="12.75">
      <c r="B137" s="1"/>
      <c r="K137" s="8"/>
    </row>
    <row r="139" s="1" customFormat="1" ht="18">
      <c r="B139" s="17" t="s">
        <v>73</v>
      </c>
    </row>
    <row r="141" spans="2:5" ht="12.75">
      <c r="B141" s="20"/>
      <c r="C141" s="36" t="s">
        <v>150</v>
      </c>
      <c r="D141" s="37"/>
      <c r="E141" s="37"/>
    </row>
    <row r="142" spans="3:5" ht="12.75">
      <c r="C142" s="37" t="s">
        <v>151</v>
      </c>
      <c r="D142" s="38"/>
      <c r="E142" s="38"/>
    </row>
    <row r="143" spans="3:5" ht="12.75">
      <c r="C143" s="37"/>
      <c r="D143" s="37" t="s">
        <v>74</v>
      </c>
      <c r="E143" s="38"/>
    </row>
    <row r="144" spans="3:5" ht="12.75">
      <c r="C144" s="37"/>
      <c r="D144" s="37" t="s">
        <v>152</v>
      </c>
      <c r="E144" s="38"/>
    </row>
    <row r="145" spans="3:5" ht="12.75">
      <c r="C145" s="37"/>
      <c r="D145" s="37" t="s">
        <v>153</v>
      </c>
      <c r="E145" s="38"/>
    </row>
    <row r="146" spans="3:5" ht="12.75">
      <c r="C146" s="37" t="s">
        <v>154</v>
      </c>
      <c r="D146" s="38"/>
      <c r="E146" s="38"/>
    </row>
    <row r="147" spans="3:5" ht="12.75">
      <c r="C147" s="37" t="s">
        <v>155</v>
      </c>
      <c r="D147" s="38"/>
      <c r="E147" s="38"/>
    </row>
    <row r="148" spans="3:5" ht="12.75">
      <c r="C148" s="37" t="s">
        <v>157</v>
      </c>
      <c r="D148" s="38"/>
      <c r="E148" s="38"/>
    </row>
    <row r="149" spans="3:5" ht="12.75">
      <c r="C149" s="37" t="s">
        <v>156</v>
      </c>
      <c r="D149" s="38"/>
      <c r="E149" s="38"/>
    </row>
    <row r="150" ht="12.75">
      <c r="C150" s="25"/>
    </row>
    <row r="151" spans="3:11" ht="12.75">
      <c r="C151" s="25" t="s">
        <v>75</v>
      </c>
      <c r="K151" s="8">
        <f>+K136</f>
        <v>432.5956561499771</v>
      </c>
    </row>
    <row r="152" ht="12.75">
      <c r="C152" s="1" t="s">
        <v>76</v>
      </c>
    </row>
    <row r="153" spans="4:11" ht="12.75">
      <c r="D153" t="s">
        <v>77</v>
      </c>
      <c r="K153" s="26">
        <f>+K74</f>
        <v>0.03902692307692307</v>
      </c>
    </row>
    <row r="154" spans="4:11" ht="12.75">
      <c r="D154" s="1" t="s">
        <v>78</v>
      </c>
      <c r="E154" s="1"/>
      <c r="K154" s="8">
        <f>+K151/K153</f>
        <v>11084.544259287875</v>
      </c>
    </row>
    <row r="157" ht="18">
      <c r="B157" s="18" t="s">
        <v>79</v>
      </c>
    </row>
    <row r="158" ht="12.75">
      <c r="B158" s="24"/>
    </row>
    <row r="159" spans="2:5" ht="12.75">
      <c r="B159" s="24"/>
      <c r="C159" s="36" t="s">
        <v>80</v>
      </c>
      <c r="D159" s="20"/>
      <c r="E159" s="20"/>
    </row>
    <row r="160" spans="2:5" ht="12.75">
      <c r="B160" s="24"/>
      <c r="C160" s="37" t="s">
        <v>81</v>
      </c>
      <c r="E160" s="20"/>
    </row>
    <row r="161" spans="2:5" ht="12.75">
      <c r="B161" s="24"/>
      <c r="C161" s="37" t="s">
        <v>82</v>
      </c>
      <c r="E161" s="20"/>
    </row>
    <row r="162" spans="2:5" ht="12.75">
      <c r="B162" s="24"/>
      <c r="C162" s="20"/>
      <c r="E162" s="20"/>
    </row>
    <row r="163" spans="2:5" ht="12.75">
      <c r="B163" s="24"/>
      <c r="C163" s="37" t="s">
        <v>146</v>
      </c>
      <c r="E163" s="20"/>
    </row>
    <row r="164" spans="2:5" ht="12.75">
      <c r="B164" s="24"/>
      <c r="C164" s="37" t="s">
        <v>144</v>
      </c>
      <c r="E164" s="20"/>
    </row>
    <row r="165" spans="2:5" ht="12.75">
      <c r="B165" s="24"/>
      <c r="C165" s="37" t="s">
        <v>145</v>
      </c>
      <c r="E165" s="20"/>
    </row>
    <row r="167" spans="3:11" ht="12.75">
      <c r="C167" t="s">
        <v>83</v>
      </c>
      <c r="J167" s="6"/>
      <c r="K167" s="8">
        <f>+K86*K65</f>
        <v>1680.2469135802469</v>
      </c>
    </row>
    <row r="168" spans="3:11" ht="12.75">
      <c r="C168" t="s">
        <v>147</v>
      </c>
      <c r="J168" s="8"/>
      <c r="K168" s="8">
        <f>+K66</f>
        <v>40000</v>
      </c>
    </row>
    <row r="169" spans="3:11" ht="12.75">
      <c r="C169" t="s">
        <v>84</v>
      </c>
      <c r="J169" s="8"/>
      <c r="K169" s="8">
        <f>+K67</f>
        <v>0</v>
      </c>
    </row>
    <row r="170" spans="4:11" ht="12.75">
      <c r="D170" s="1" t="s">
        <v>85</v>
      </c>
      <c r="K170" s="8">
        <f>SUM(K167:K169)</f>
        <v>41680.246913580246</v>
      </c>
    </row>
    <row r="172" spans="3:11" ht="12.75">
      <c r="C172" t="s">
        <v>148</v>
      </c>
      <c r="K172" s="8">
        <f>+K170</f>
        <v>41680.246913580246</v>
      </c>
    </row>
    <row r="173" spans="3:11" ht="12.75">
      <c r="C173" t="s">
        <v>149</v>
      </c>
      <c r="K173" s="23">
        <v>20</v>
      </c>
    </row>
    <row r="174" spans="4:11" ht="12.75">
      <c r="D174" s="1" t="s">
        <v>158</v>
      </c>
      <c r="K174" s="8">
        <f>+K172/K173</f>
        <v>2084.0123456790125</v>
      </c>
    </row>
    <row r="177" ht="18">
      <c r="B177" s="17" t="s">
        <v>86</v>
      </c>
    </row>
    <row r="179" spans="3:11" ht="12.75">
      <c r="C179" t="s">
        <v>87</v>
      </c>
      <c r="K179" s="8">
        <f>+K154</f>
        <v>11084.544259287875</v>
      </c>
    </row>
    <row r="180" spans="3:11" ht="12.75">
      <c r="C180" t="s">
        <v>88</v>
      </c>
      <c r="K180" s="21">
        <f>+K174</f>
        <v>2084.0123456790125</v>
      </c>
    </row>
    <row r="181" spans="4:11" ht="12.75">
      <c r="D181" s="1" t="s">
        <v>89</v>
      </c>
      <c r="K181" s="8">
        <f>SUM(K179:K180)</f>
        <v>13168.556604966889</v>
      </c>
    </row>
    <row r="182" spans="4:11" ht="12.75">
      <c r="D182" s="1"/>
      <c r="K182" s="8"/>
    </row>
    <row r="185" ht="13.5" customHeight="1">
      <c r="C185" s="43" t="s">
        <v>90</v>
      </c>
    </row>
    <row r="186" ht="12.75">
      <c r="D186" s="20" t="s">
        <v>159</v>
      </c>
    </row>
    <row r="187" ht="12.75">
      <c r="D187" s="20" t="s">
        <v>162</v>
      </c>
    </row>
    <row r="188" ht="12.75">
      <c r="D188" s="20" t="s">
        <v>163</v>
      </c>
    </row>
    <row r="189" ht="12.75">
      <c r="D189" s="59" t="s">
        <v>161</v>
      </c>
    </row>
    <row r="191" spans="3:11" ht="12.75">
      <c r="C191" t="s">
        <v>121</v>
      </c>
      <c r="K191" s="46">
        <f>+K72</f>
        <v>0.06687692307692308</v>
      </c>
    </row>
    <row r="192" spans="3:11" ht="12.75">
      <c r="C192" t="s">
        <v>135</v>
      </c>
      <c r="K192" s="46">
        <f>+K73</f>
        <v>0.027850000000000014</v>
      </c>
    </row>
    <row r="193" spans="3:11" ht="12.75">
      <c r="C193" t="s">
        <v>91</v>
      </c>
      <c r="K193" s="46">
        <f>K191-K192</f>
        <v>0.03902692307692307</v>
      </c>
    </row>
    <row r="194" spans="3:11" ht="12.75">
      <c r="C194" t="s">
        <v>92</v>
      </c>
      <c r="J194" s="8"/>
      <c r="K194" s="8">
        <f>+K136</f>
        <v>432.5956561499771</v>
      </c>
    </row>
    <row r="195" ht="12.75">
      <c r="J195" s="8"/>
    </row>
    <row r="196" spans="4:9" ht="12.75">
      <c r="D196" s="2"/>
      <c r="E196" s="2"/>
      <c r="F196" s="2" t="s">
        <v>93</v>
      </c>
      <c r="G196" s="2"/>
      <c r="H196" s="2"/>
      <c r="I196" s="2"/>
    </row>
    <row r="197" spans="4:9" ht="12.75">
      <c r="D197" s="2"/>
      <c r="E197" s="2"/>
      <c r="F197" s="2" t="s">
        <v>94</v>
      </c>
      <c r="G197" s="2" t="s">
        <v>94</v>
      </c>
      <c r="H197" s="2" t="s">
        <v>94</v>
      </c>
      <c r="I197" s="2"/>
    </row>
    <row r="198" spans="4:9" ht="12.75">
      <c r="D198" s="2"/>
      <c r="E198" s="2" t="s">
        <v>95</v>
      </c>
      <c r="F198" s="2" t="s">
        <v>96</v>
      </c>
      <c r="G198" s="2" t="s">
        <v>97</v>
      </c>
      <c r="H198" s="2" t="s">
        <v>98</v>
      </c>
      <c r="I198" s="2" t="s">
        <v>99</v>
      </c>
    </row>
    <row r="199" spans="4:9" ht="12.75">
      <c r="D199" s="3" t="s">
        <v>100</v>
      </c>
      <c r="E199" s="3" t="s">
        <v>101</v>
      </c>
      <c r="F199" s="3" t="s">
        <v>102</v>
      </c>
      <c r="G199" s="3" t="s">
        <v>103</v>
      </c>
      <c r="H199" s="3" t="s">
        <v>101</v>
      </c>
      <c r="I199" s="3" t="s">
        <v>101</v>
      </c>
    </row>
    <row r="200" spans="4:9" ht="12.75">
      <c r="D200">
        <v>2011</v>
      </c>
      <c r="E200" s="6">
        <f>+K154</f>
        <v>11084.544259287875</v>
      </c>
      <c r="F200" s="6">
        <f aca="true" t="shared" si="0" ref="F200:F214">+E200*$K$191</f>
        <v>741.3002137711446</v>
      </c>
      <c r="G200" s="6">
        <f>+E200*$K$193</f>
        <v>432.5956561499771</v>
      </c>
      <c r="H200" s="6">
        <f>+E200*$K$192</f>
        <v>308.70455762116745</v>
      </c>
      <c r="I200" s="6">
        <f>+E200+H200</f>
        <v>11393.248816909043</v>
      </c>
    </row>
    <row r="201" spans="4:9" ht="12.75">
      <c r="D201">
        <f aca="true" t="shared" si="1" ref="D201:D215">+D200+1</f>
        <v>2012</v>
      </c>
      <c r="E201" s="6">
        <f aca="true" t="shared" si="2" ref="E201:E216">+I200</f>
        <v>11393.248816909043</v>
      </c>
      <c r="F201" s="6">
        <f t="shared" si="0"/>
        <v>761.9454247246709</v>
      </c>
      <c r="G201" s="6">
        <f aca="true" t="shared" si="3" ref="G201:G216">+E201*$K$193</f>
        <v>444.643445173754</v>
      </c>
      <c r="H201" s="6">
        <f aca="true" t="shared" si="4" ref="H201:H216">+E201*$K$192</f>
        <v>317.301979550917</v>
      </c>
      <c r="I201" s="6">
        <f aca="true" t="shared" si="5" ref="I201:I216">+E201+H201</f>
        <v>11710.55079645996</v>
      </c>
    </row>
    <row r="202" spans="4:9" ht="12.75">
      <c r="D202">
        <f t="shared" si="1"/>
        <v>2013</v>
      </c>
      <c r="E202" s="6">
        <f t="shared" si="2"/>
        <v>11710.55079645996</v>
      </c>
      <c r="F202" s="6">
        <f t="shared" si="0"/>
        <v>783.1656048032531</v>
      </c>
      <c r="G202" s="6">
        <f t="shared" si="3"/>
        <v>457.0267651218431</v>
      </c>
      <c r="H202" s="6">
        <f t="shared" si="4"/>
        <v>326.13883968141005</v>
      </c>
      <c r="I202" s="6">
        <f t="shared" si="5"/>
        <v>12036.689636141371</v>
      </c>
    </row>
    <row r="203" spans="4:9" ht="12.75">
      <c r="D203">
        <f t="shared" si="1"/>
        <v>2014</v>
      </c>
      <c r="E203" s="6">
        <f t="shared" si="2"/>
        <v>12036.689636141371</v>
      </c>
      <c r="F203" s="6">
        <f t="shared" si="0"/>
        <v>804.9767668970238</v>
      </c>
      <c r="G203" s="6">
        <f t="shared" si="3"/>
        <v>469.7549605304864</v>
      </c>
      <c r="H203" s="6">
        <f t="shared" si="4"/>
        <v>335.22180636653735</v>
      </c>
      <c r="I203" s="6">
        <f t="shared" si="5"/>
        <v>12371.911442507908</v>
      </c>
    </row>
    <row r="204" spans="4:9" ht="12.75">
      <c r="D204">
        <f t="shared" si="1"/>
        <v>2015</v>
      </c>
      <c r="E204" s="6">
        <f t="shared" si="2"/>
        <v>12371.911442507908</v>
      </c>
      <c r="F204" s="6">
        <f t="shared" si="0"/>
        <v>827.3953698551059</v>
      </c>
      <c r="G204" s="6">
        <f t="shared" si="3"/>
        <v>482.83763618126045</v>
      </c>
      <c r="H204" s="6">
        <f t="shared" si="4"/>
        <v>344.5577336738454</v>
      </c>
      <c r="I204" s="6">
        <f t="shared" si="5"/>
        <v>12716.469176181754</v>
      </c>
    </row>
    <row r="205" spans="4:9" ht="12.75">
      <c r="D205">
        <f t="shared" si="1"/>
        <v>2016</v>
      </c>
      <c r="E205" s="6">
        <f t="shared" si="2"/>
        <v>12716.469176181754</v>
      </c>
      <c r="F205" s="6">
        <f t="shared" si="0"/>
        <v>850.4383309055706</v>
      </c>
      <c r="G205" s="6">
        <f t="shared" si="3"/>
        <v>496.2846643489086</v>
      </c>
      <c r="H205" s="6">
        <f t="shared" si="4"/>
        <v>354.153666556662</v>
      </c>
      <c r="I205" s="6">
        <f t="shared" si="5"/>
        <v>13070.622842738416</v>
      </c>
    </row>
    <row r="206" spans="4:9" ht="12.75">
      <c r="D206">
        <f t="shared" si="1"/>
        <v>2017</v>
      </c>
      <c r="E206" s="6">
        <f t="shared" si="2"/>
        <v>13070.622842738416</v>
      </c>
      <c r="F206" s="6">
        <f t="shared" si="0"/>
        <v>874.1230384212907</v>
      </c>
      <c r="G206" s="6">
        <f t="shared" si="3"/>
        <v>510.1061922510257</v>
      </c>
      <c r="H206" s="6">
        <f t="shared" si="4"/>
        <v>364.01684617026507</v>
      </c>
      <c r="I206" s="6">
        <f t="shared" si="5"/>
        <v>13434.639688908681</v>
      </c>
    </row>
    <row r="207" spans="4:9" ht="12.75">
      <c r="D207">
        <f>+D206+1</f>
        <v>2018</v>
      </c>
      <c r="E207" s="6">
        <f>+I206</f>
        <v>13434.639688908681</v>
      </c>
      <c r="F207" s="6">
        <f t="shared" si="0"/>
        <v>898.4673650413238</v>
      </c>
      <c r="G207" s="6">
        <f t="shared" si="3"/>
        <v>524.3126497052168</v>
      </c>
      <c r="H207" s="6">
        <f t="shared" si="4"/>
        <v>374.15471533610696</v>
      </c>
      <c r="I207" s="6">
        <f t="shared" si="5"/>
        <v>13808.794404244787</v>
      </c>
    </row>
    <row r="208" spans="4:9" ht="12.75">
      <c r="D208">
        <f t="shared" si="1"/>
        <v>2019</v>
      </c>
      <c r="E208" s="6">
        <f t="shared" si="2"/>
        <v>13808.794404244787</v>
      </c>
      <c r="F208" s="6">
        <f t="shared" si="0"/>
        <v>923.4896811577246</v>
      </c>
      <c r="G208" s="6">
        <f t="shared" si="3"/>
        <v>538.9147569995071</v>
      </c>
      <c r="H208" s="6">
        <f t="shared" si="4"/>
        <v>384.5749241582175</v>
      </c>
      <c r="I208" s="6">
        <f t="shared" si="5"/>
        <v>14193.369328403005</v>
      </c>
    </row>
    <row r="209" spans="4:9" ht="12.75">
      <c r="D209">
        <f t="shared" si="1"/>
        <v>2020</v>
      </c>
      <c r="E209" s="6">
        <f t="shared" si="2"/>
        <v>14193.369328403005</v>
      </c>
      <c r="F209" s="6">
        <f t="shared" si="0"/>
        <v>949.2088687779673</v>
      </c>
      <c r="G209" s="6">
        <f t="shared" si="3"/>
        <v>553.9235329819434</v>
      </c>
      <c r="H209" s="6">
        <f t="shared" si="4"/>
        <v>395.2853357960239</v>
      </c>
      <c r="I209" s="6">
        <f t="shared" si="5"/>
        <v>14588.654664199028</v>
      </c>
    </row>
    <row r="210" spans="4:9" ht="12.75">
      <c r="D210">
        <f t="shared" si="1"/>
        <v>2021</v>
      </c>
      <c r="E210" s="6">
        <f t="shared" si="2"/>
        <v>14588.654664199028</v>
      </c>
      <c r="F210" s="6">
        <f t="shared" si="0"/>
        <v>975.6443357734336</v>
      </c>
      <c r="G210" s="6">
        <f t="shared" si="3"/>
        <v>569.3503033754904</v>
      </c>
      <c r="H210" s="6">
        <f t="shared" si="4"/>
        <v>406.2940323979431</v>
      </c>
      <c r="I210" s="6">
        <f t="shared" si="5"/>
        <v>14994.948696596972</v>
      </c>
    </row>
    <row r="211" spans="4:9" ht="12.75">
      <c r="D211">
        <f t="shared" si="1"/>
        <v>2022</v>
      </c>
      <c r="E211" s="6">
        <f t="shared" si="2"/>
        <v>14994.948696596972</v>
      </c>
      <c r="F211" s="6">
        <f t="shared" si="0"/>
        <v>1002.8160305247237</v>
      </c>
      <c r="G211" s="6">
        <f t="shared" si="3"/>
        <v>585.2067093244979</v>
      </c>
      <c r="H211" s="6">
        <f t="shared" si="4"/>
        <v>417.60932120022585</v>
      </c>
      <c r="I211" s="6">
        <f t="shared" si="5"/>
        <v>15412.558017797197</v>
      </c>
    </row>
    <row r="212" spans="4:9" ht="12.75">
      <c r="D212">
        <f t="shared" si="1"/>
        <v>2023</v>
      </c>
      <c r="E212" s="6">
        <f t="shared" si="2"/>
        <v>15412.558017797197</v>
      </c>
      <c r="F212" s="6">
        <f t="shared" si="0"/>
        <v>1030.7444569748372</v>
      </c>
      <c r="G212" s="6">
        <f t="shared" si="3"/>
        <v>601.5047161791852</v>
      </c>
      <c r="H212" s="6">
        <f t="shared" si="4"/>
        <v>429.23974079565215</v>
      </c>
      <c r="I212" s="6">
        <f t="shared" si="5"/>
        <v>15841.79775859285</v>
      </c>
    </row>
    <row r="213" spans="4:9" ht="12.75">
      <c r="D213">
        <f t="shared" si="1"/>
        <v>2024</v>
      </c>
      <c r="E213" s="6">
        <f t="shared" si="2"/>
        <v>15841.79775859285</v>
      </c>
      <c r="F213" s="6">
        <f t="shared" si="0"/>
        <v>1059.4506901015866</v>
      </c>
      <c r="G213" s="6">
        <f t="shared" si="3"/>
        <v>618.2566225247755</v>
      </c>
      <c r="H213" s="6">
        <f t="shared" si="4"/>
        <v>441.19406757681105</v>
      </c>
      <c r="I213" s="6">
        <f t="shared" si="5"/>
        <v>16282.99182616966</v>
      </c>
    </row>
    <row r="214" spans="4:9" ht="12.75">
      <c r="D214">
        <f t="shared" si="1"/>
        <v>2025</v>
      </c>
      <c r="E214" s="6">
        <f t="shared" si="2"/>
        <v>16282.99182616966</v>
      </c>
      <c r="F214" s="6">
        <f t="shared" si="0"/>
        <v>1088.9563918209158</v>
      </c>
      <c r="G214" s="6">
        <f t="shared" si="3"/>
        <v>635.4750694620905</v>
      </c>
      <c r="H214" s="6">
        <f t="shared" si="4"/>
        <v>453.48132235882525</v>
      </c>
      <c r="I214" s="6">
        <f t="shared" si="5"/>
        <v>16736.473148528486</v>
      </c>
    </row>
    <row r="215" spans="4:9" ht="12.75">
      <c r="D215">
        <f t="shared" si="1"/>
        <v>2026</v>
      </c>
      <c r="E215" s="6">
        <f t="shared" si="2"/>
        <v>16736.473148528486</v>
      </c>
      <c r="F215" s="6">
        <f aca="true" t="shared" si="6" ref="F215:F230">+E215*$K$191</f>
        <v>1119.2838273331283</v>
      </c>
      <c r="G215" s="6">
        <f t="shared" si="3"/>
        <v>653.1730501466097</v>
      </c>
      <c r="H215" s="6">
        <f t="shared" si="4"/>
        <v>466.1107771865186</v>
      </c>
      <c r="I215" s="6">
        <f t="shared" si="5"/>
        <v>17202.583925715004</v>
      </c>
    </row>
    <row r="216" spans="4:9" ht="12.75">
      <c r="D216">
        <f aca="true" t="shared" si="7" ref="D216:D231">+D215+1</f>
        <v>2027</v>
      </c>
      <c r="E216" s="6">
        <f t="shared" si="2"/>
        <v>17202.583925715004</v>
      </c>
      <c r="F216" s="6">
        <f t="shared" si="6"/>
        <v>1150.455881924356</v>
      </c>
      <c r="G216" s="6">
        <f t="shared" si="3"/>
        <v>671.3639195931927</v>
      </c>
      <c r="H216" s="6">
        <f t="shared" si="4"/>
        <v>479.0919623311631</v>
      </c>
      <c r="I216" s="6">
        <f t="shared" si="5"/>
        <v>17681.675888046168</v>
      </c>
    </row>
    <row r="217" spans="4:9" ht="12.75">
      <c r="D217">
        <f t="shared" si="7"/>
        <v>2028</v>
      </c>
      <c r="E217" s="6">
        <f aca="true" t="shared" si="8" ref="E217:E232">+I216</f>
        <v>17681.675888046168</v>
      </c>
      <c r="F217" s="6">
        <f t="shared" si="6"/>
        <v>1182.4960782359492</v>
      </c>
      <c r="G217" s="6">
        <f aca="true" t="shared" si="9" ref="G217:G232">+E217*$K$193</f>
        <v>690.0614047538631</v>
      </c>
      <c r="H217" s="6">
        <f aca="true" t="shared" si="10" ref="H217:H232">+E217*$K$192</f>
        <v>492.434673482086</v>
      </c>
      <c r="I217" s="6">
        <f aca="true" t="shared" si="11" ref="I217:I232">+E217+H217</f>
        <v>18174.110561528254</v>
      </c>
    </row>
    <row r="218" spans="4:9" ht="12.75">
      <c r="D218">
        <f t="shared" si="7"/>
        <v>2029</v>
      </c>
      <c r="E218" s="6">
        <f t="shared" si="8"/>
        <v>18174.110561528254</v>
      </c>
      <c r="F218" s="6">
        <f t="shared" si="6"/>
        <v>1215.4285940148204</v>
      </c>
      <c r="G218" s="6">
        <f t="shared" si="9"/>
        <v>709.2796148762583</v>
      </c>
      <c r="H218" s="6">
        <f t="shared" si="10"/>
        <v>506.14897913856214</v>
      </c>
      <c r="I218" s="6">
        <f t="shared" si="11"/>
        <v>18680.259540666815</v>
      </c>
    </row>
    <row r="219" spans="4:9" ht="12.75">
      <c r="D219">
        <f t="shared" si="7"/>
        <v>2030</v>
      </c>
      <c r="E219" s="6">
        <f t="shared" si="8"/>
        <v>18680.259540666815</v>
      </c>
      <c r="F219" s="6">
        <f t="shared" si="6"/>
        <v>1249.278280358133</v>
      </c>
      <c r="G219" s="6">
        <f t="shared" si="9"/>
        <v>729.0330521505621</v>
      </c>
      <c r="H219" s="6">
        <f t="shared" si="10"/>
        <v>520.245228207571</v>
      </c>
      <c r="I219" s="6">
        <f t="shared" si="11"/>
        <v>19200.504768874387</v>
      </c>
    </row>
    <row r="220" spans="4:9" ht="12.75">
      <c r="D220">
        <f t="shared" si="7"/>
        <v>2031</v>
      </c>
      <c r="E220" s="6">
        <f t="shared" si="8"/>
        <v>19200.504768874387</v>
      </c>
      <c r="F220" s="6">
        <f t="shared" si="6"/>
        <v>1284.0706804661072</v>
      </c>
      <c r="G220" s="6">
        <f t="shared" si="9"/>
        <v>749.3366226529553</v>
      </c>
      <c r="H220" s="6">
        <f t="shared" si="10"/>
        <v>534.7340578131519</v>
      </c>
      <c r="I220" s="6">
        <f t="shared" si="11"/>
        <v>19735.23882668754</v>
      </c>
    </row>
    <row r="221" spans="4:9" ht="12.75">
      <c r="D221">
        <f t="shared" si="7"/>
        <v>2032</v>
      </c>
      <c r="E221" s="6">
        <f t="shared" si="8"/>
        <v>19735.23882668754</v>
      </c>
      <c r="F221" s="6">
        <f t="shared" si="6"/>
        <v>1319.8320489170883</v>
      </c>
      <c r="G221" s="6">
        <f t="shared" si="9"/>
        <v>770.2056475938401</v>
      </c>
      <c r="H221" s="6">
        <f t="shared" si="10"/>
        <v>549.6264013232483</v>
      </c>
      <c r="I221" s="6">
        <f t="shared" si="11"/>
        <v>20284.865228010785</v>
      </c>
    </row>
    <row r="222" spans="4:9" ht="12.75">
      <c r="D222">
        <f t="shared" si="7"/>
        <v>2033</v>
      </c>
      <c r="E222" s="6">
        <f t="shared" si="8"/>
        <v>20284.865228010785</v>
      </c>
      <c r="F222" s="6">
        <f t="shared" si="6"/>
        <v>1356.589371479429</v>
      </c>
      <c r="G222" s="6">
        <f t="shared" si="9"/>
        <v>791.6558748793285</v>
      </c>
      <c r="H222" s="6">
        <f t="shared" si="10"/>
        <v>564.9334966001006</v>
      </c>
      <c r="I222" s="6">
        <f t="shared" si="11"/>
        <v>20849.798724610886</v>
      </c>
    </row>
    <row r="223" spans="4:9" ht="12.75">
      <c r="D223">
        <f t="shared" si="7"/>
        <v>2034</v>
      </c>
      <c r="E223" s="6">
        <f t="shared" si="8"/>
        <v>20849.798724610886</v>
      </c>
      <c r="F223" s="6">
        <f t="shared" si="6"/>
        <v>1394.3703854751313</v>
      </c>
      <c r="G223" s="6">
        <f t="shared" si="9"/>
        <v>813.7034909947178</v>
      </c>
      <c r="H223" s="6">
        <f t="shared" si="10"/>
        <v>580.6668944804135</v>
      </c>
      <c r="I223" s="6">
        <f t="shared" si="11"/>
        <v>21430.4656190913</v>
      </c>
    </row>
    <row r="224" spans="4:9" ht="12.75">
      <c r="D224">
        <f t="shared" si="7"/>
        <v>2035</v>
      </c>
      <c r="E224" s="6">
        <f t="shared" si="8"/>
        <v>21430.4656190913</v>
      </c>
      <c r="F224" s="6">
        <f t="shared" si="6"/>
        <v>1433.2036007106137</v>
      </c>
      <c r="G224" s="6">
        <f t="shared" si="9"/>
        <v>836.3651332189207</v>
      </c>
      <c r="H224" s="6">
        <f t="shared" si="10"/>
        <v>596.838467491693</v>
      </c>
      <c r="I224" s="6">
        <f t="shared" si="11"/>
        <v>22027.304086582993</v>
      </c>
    </row>
    <row r="225" spans="4:9" ht="12.75">
      <c r="D225">
        <f t="shared" si="7"/>
        <v>2036</v>
      </c>
      <c r="E225" s="6">
        <f t="shared" si="8"/>
        <v>22027.304086582993</v>
      </c>
      <c r="F225" s="6">
        <f t="shared" si="6"/>
        <v>1473.1183209904043</v>
      </c>
      <c r="G225" s="6">
        <f t="shared" si="9"/>
        <v>859.6579021790677</v>
      </c>
      <c r="H225" s="6">
        <f t="shared" si="10"/>
        <v>613.4604188113367</v>
      </c>
      <c r="I225" s="6">
        <f t="shared" si="11"/>
        <v>22640.76450539433</v>
      </c>
    </row>
    <row r="226" spans="4:9" ht="12.75">
      <c r="D226">
        <f t="shared" si="7"/>
        <v>2037</v>
      </c>
      <c r="E226" s="6">
        <f t="shared" si="8"/>
        <v>22640.76450539433</v>
      </c>
      <c r="F226" s="6">
        <f t="shared" si="6"/>
        <v>1514.1446662299873</v>
      </c>
      <c r="G226" s="6">
        <f t="shared" si="9"/>
        <v>883.5993747547548</v>
      </c>
      <c r="H226" s="6">
        <f t="shared" si="10"/>
        <v>630.5452914752324</v>
      </c>
      <c r="I226" s="6">
        <f t="shared" si="11"/>
        <v>23271.309796869562</v>
      </c>
    </row>
    <row r="227" spans="4:9" ht="12.75">
      <c r="D227">
        <f t="shared" si="7"/>
        <v>2038</v>
      </c>
      <c r="E227" s="6">
        <f t="shared" si="8"/>
        <v>23271.309796869562</v>
      </c>
      <c r="F227" s="6">
        <f t="shared" si="6"/>
        <v>1556.3135951844922</v>
      </c>
      <c r="G227" s="6">
        <f t="shared" si="9"/>
        <v>908.2076173416747</v>
      </c>
      <c r="H227" s="6">
        <f t="shared" si="10"/>
        <v>648.1059778428177</v>
      </c>
      <c r="I227" s="6">
        <f t="shared" si="11"/>
        <v>23919.41577471238</v>
      </c>
    </row>
    <row r="228" spans="4:9" ht="12.75">
      <c r="D228">
        <f t="shared" si="7"/>
        <v>2039</v>
      </c>
      <c r="E228" s="6">
        <f t="shared" si="8"/>
        <v>23919.41577471238</v>
      </c>
      <c r="F228" s="6">
        <f t="shared" si="6"/>
        <v>1599.6569288103804</v>
      </c>
      <c r="G228" s="6">
        <f t="shared" si="9"/>
        <v>933.5011994846402</v>
      </c>
      <c r="H228" s="6">
        <f t="shared" si="10"/>
        <v>666.1557293257401</v>
      </c>
      <c r="I228" s="6">
        <f t="shared" si="11"/>
        <v>24585.57150403812</v>
      </c>
    </row>
    <row r="229" spans="4:9" ht="12.75">
      <c r="D229">
        <f t="shared" si="7"/>
        <v>2040</v>
      </c>
      <c r="E229" s="6">
        <f t="shared" si="8"/>
        <v>24585.57150403812</v>
      </c>
      <c r="F229" s="6">
        <f t="shared" si="6"/>
        <v>1644.2073742777493</v>
      </c>
      <c r="G229" s="6">
        <f t="shared" si="9"/>
        <v>959.4992078902875</v>
      </c>
      <c r="H229" s="6">
        <f t="shared" si="10"/>
        <v>684.7081663874619</v>
      </c>
      <c r="I229" s="6">
        <f t="shared" si="11"/>
        <v>25270.27967042558</v>
      </c>
    </row>
    <row r="230" spans="4:9" ht="12.75">
      <c r="D230">
        <f t="shared" si="7"/>
        <v>2041</v>
      </c>
      <c r="E230" s="6">
        <f t="shared" si="8"/>
        <v>25270.27967042558</v>
      </c>
      <c r="F230" s="6">
        <f t="shared" si="6"/>
        <v>1689.9985496513848</v>
      </c>
      <c r="G230" s="6">
        <f t="shared" si="9"/>
        <v>986.2212608300321</v>
      </c>
      <c r="H230" s="6">
        <f t="shared" si="10"/>
        <v>703.7772888213528</v>
      </c>
      <c r="I230" s="6">
        <f t="shared" si="11"/>
        <v>25974.056959246933</v>
      </c>
    </row>
    <row r="231" spans="4:9" ht="12.75">
      <c r="D231">
        <f t="shared" si="7"/>
        <v>2042</v>
      </c>
      <c r="E231" s="6">
        <f t="shared" si="8"/>
        <v>25974.056959246933</v>
      </c>
      <c r="F231" s="6">
        <f aca="true" t="shared" si="12" ref="F231:F240">+E231*$K$191</f>
        <v>1737.065009259176</v>
      </c>
      <c r="G231" s="6">
        <f t="shared" si="9"/>
        <v>1013.6875229441484</v>
      </c>
      <c r="H231" s="6">
        <f t="shared" si="10"/>
        <v>723.3774863150275</v>
      </c>
      <c r="I231" s="6">
        <f t="shared" si="11"/>
        <v>26697.43444556196</v>
      </c>
    </row>
    <row r="232" spans="4:9" ht="12.75">
      <c r="D232">
        <f aca="true" t="shared" si="13" ref="D232:D240">+D231+1</f>
        <v>2043</v>
      </c>
      <c r="E232" s="6">
        <f t="shared" si="8"/>
        <v>26697.43444556196</v>
      </c>
      <c r="F232" s="6">
        <f t="shared" si="12"/>
        <v>1785.4422697670439</v>
      </c>
      <c r="G232" s="6">
        <f t="shared" si="9"/>
        <v>1041.918720458143</v>
      </c>
      <c r="H232" s="6">
        <f t="shared" si="10"/>
        <v>743.523549308901</v>
      </c>
      <c r="I232" s="6">
        <f t="shared" si="11"/>
        <v>27440.957994870863</v>
      </c>
    </row>
    <row r="233" spans="4:9" ht="12.75">
      <c r="D233">
        <f t="shared" si="13"/>
        <v>2044</v>
      </c>
      <c r="E233" s="6">
        <f>+I232</f>
        <v>27440.957994870863</v>
      </c>
      <c r="F233" s="6">
        <f t="shared" si="12"/>
        <v>1835.1668369800561</v>
      </c>
      <c r="G233" s="6">
        <f aca="true" t="shared" si="14" ref="G233:G240">+E233*$K$193</f>
        <v>1070.9361568229024</v>
      </c>
      <c r="H233" s="6">
        <f aca="true" t="shared" si="15" ref="H233:H240">+E233*$K$192</f>
        <v>764.2306801571539</v>
      </c>
      <c r="I233" s="6">
        <f aca="true" t="shared" si="16" ref="I233:I240">+E233+H233</f>
        <v>28205.188675028017</v>
      </c>
    </row>
    <row r="234" spans="4:9" ht="12.75">
      <c r="D234">
        <f t="shared" si="13"/>
        <v>2045</v>
      </c>
      <c r="E234" s="6">
        <f>+I233</f>
        <v>28205.188675028017</v>
      </c>
      <c r="F234" s="6">
        <f t="shared" si="12"/>
        <v>1886.276233389951</v>
      </c>
      <c r="G234" s="6">
        <f t="shared" si="14"/>
        <v>1100.7617287904202</v>
      </c>
      <c r="H234" s="6">
        <f t="shared" si="15"/>
        <v>785.5145045995307</v>
      </c>
      <c r="I234" s="6">
        <f t="shared" si="16"/>
        <v>28990.703179627548</v>
      </c>
    </row>
    <row r="235" spans="4:9" ht="12.75">
      <c r="D235">
        <f t="shared" si="13"/>
        <v>2046</v>
      </c>
      <c r="E235" s="6">
        <f>+I234</f>
        <v>28990.703179627548</v>
      </c>
      <c r="F235" s="6">
        <f t="shared" si="12"/>
        <v>1938.809026489861</v>
      </c>
      <c r="G235" s="6">
        <f t="shared" si="14"/>
        <v>1131.4179429372334</v>
      </c>
      <c r="H235" s="6">
        <f t="shared" si="15"/>
        <v>807.3910835526276</v>
      </c>
      <c r="I235" s="6">
        <f t="shared" si="16"/>
        <v>29798.094263180174</v>
      </c>
    </row>
    <row r="236" spans="4:9" ht="12.75">
      <c r="D236">
        <f t="shared" si="13"/>
        <v>2047</v>
      </c>
      <c r="E236" s="6">
        <f>+I235</f>
        <v>29798.094263180174</v>
      </c>
      <c r="F236" s="6">
        <f t="shared" si="12"/>
        <v>1992.8048578776036</v>
      </c>
      <c r="G236" s="6">
        <f t="shared" si="14"/>
        <v>1162.9279326480353</v>
      </c>
      <c r="H236" s="6">
        <f t="shared" si="15"/>
        <v>829.8769252295682</v>
      </c>
      <c r="I236" s="6">
        <f t="shared" si="16"/>
        <v>30627.97118840974</v>
      </c>
    </row>
    <row r="237" spans="4:9" ht="12.75">
      <c r="D237">
        <f t="shared" si="13"/>
        <v>2048</v>
      </c>
      <c r="E237" s="6">
        <f>+I233</f>
        <v>28205.188675028017</v>
      </c>
      <c r="F237" s="6">
        <f t="shared" si="12"/>
        <v>1886.276233389951</v>
      </c>
      <c r="G237" s="6">
        <f t="shared" si="14"/>
        <v>1100.7617287904202</v>
      </c>
      <c r="H237" s="6">
        <f t="shared" si="15"/>
        <v>785.5145045995307</v>
      </c>
      <c r="I237" s="6">
        <f t="shared" si="16"/>
        <v>28990.703179627548</v>
      </c>
    </row>
    <row r="238" spans="4:9" ht="12.75">
      <c r="D238">
        <f t="shared" si="13"/>
        <v>2049</v>
      </c>
      <c r="E238" s="6">
        <f>+I237</f>
        <v>28990.703179627548</v>
      </c>
      <c r="F238" s="6">
        <f t="shared" si="12"/>
        <v>1938.809026489861</v>
      </c>
      <c r="G238" s="6">
        <f t="shared" si="14"/>
        <v>1131.4179429372334</v>
      </c>
      <c r="H238" s="6">
        <f t="shared" si="15"/>
        <v>807.3910835526276</v>
      </c>
      <c r="I238" s="6">
        <f t="shared" si="16"/>
        <v>29798.094263180174</v>
      </c>
    </row>
    <row r="239" spans="4:9" ht="12.75">
      <c r="D239">
        <f t="shared" si="13"/>
        <v>2050</v>
      </c>
      <c r="E239" s="6">
        <f>+I238</f>
        <v>29798.094263180174</v>
      </c>
      <c r="F239" s="6">
        <f t="shared" si="12"/>
        <v>1992.8048578776036</v>
      </c>
      <c r="G239" s="6">
        <f t="shared" si="14"/>
        <v>1162.9279326480353</v>
      </c>
      <c r="H239" s="6">
        <f t="shared" si="15"/>
        <v>829.8769252295682</v>
      </c>
      <c r="I239" s="6">
        <f t="shared" si="16"/>
        <v>30627.97118840974</v>
      </c>
    </row>
    <row r="240" spans="4:9" ht="12.75">
      <c r="D240">
        <f t="shared" si="13"/>
        <v>2051</v>
      </c>
      <c r="E240" s="6">
        <f>+I239</f>
        <v>30627.97118840974</v>
      </c>
      <c r="F240" s="6">
        <f t="shared" si="12"/>
        <v>2048.304473169495</v>
      </c>
      <c r="G240" s="6">
        <f t="shared" si="14"/>
        <v>1195.315475572283</v>
      </c>
      <c r="H240" s="6">
        <f t="shared" si="15"/>
        <v>852.9889975972117</v>
      </c>
      <c r="I240" s="6">
        <f t="shared" si="16"/>
        <v>31480.960186006952</v>
      </c>
    </row>
    <row r="241" spans="5:9" ht="12.75">
      <c r="E241" s="6"/>
      <c r="F241" s="6"/>
      <c r="G241" s="6"/>
      <c r="H241" s="6"/>
      <c r="I241" s="6"/>
    </row>
    <row r="242" spans="5:9" ht="12.75">
      <c r="E242" s="6"/>
      <c r="F242" s="6"/>
      <c r="G242" s="6"/>
      <c r="H242" s="6"/>
      <c r="I242" s="6"/>
    </row>
    <row r="243" spans="5:9" ht="12.75">
      <c r="E243" s="6"/>
      <c r="F243" s="6"/>
      <c r="G243" s="6"/>
      <c r="H243" s="6"/>
      <c r="I243" s="6"/>
    </row>
    <row r="244" spans="2:11" ht="20.25">
      <c r="B244" s="44" t="s">
        <v>104</v>
      </c>
      <c r="C244" s="27"/>
      <c r="D244" s="27"/>
      <c r="E244" s="29"/>
      <c r="F244" s="29"/>
      <c r="G244" s="29"/>
      <c r="H244" s="29"/>
      <c r="I244" s="29"/>
      <c r="J244" s="27"/>
      <c r="K244" s="27"/>
    </row>
    <row r="245" spans="2:11" ht="12.75">
      <c r="B245" s="27"/>
      <c r="C245" s="27"/>
      <c r="D245" s="27"/>
      <c r="E245" s="29"/>
      <c r="F245" s="29"/>
      <c r="G245" s="61" t="s">
        <v>164</v>
      </c>
      <c r="H245" s="29"/>
      <c r="I245" s="60"/>
      <c r="J245" s="27"/>
      <c r="K245" s="27"/>
    </row>
    <row r="246" spans="4:9" ht="12.75">
      <c r="D246" s="1"/>
      <c r="E246" s="31" t="s">
        <v>105</v>
      </c>
      <c r="F246" s="31"/>
      <c r="G246" s="33" t="s">
        <v>106</v>
      </c>
      <c r="H246" s="33"/>
      <c r="I246" s="33"/>
    </row>
    <row r="247" spans="3:11" ht="12.75">
      <c r="C247" s="30" t="s">
        <v>100</v>
      </c>
      <c r="D247" s="32" t="s">
        <v>107</v>
      </c>
      <c r="E247" s="31"/>
      <c r="F247" s="31"/>
      <c r="G247" s="34" t="s">
        <v>108</v>
      </c>
      <c r="H247" s="34"/>
      <c r="I247" s="34"/>
      <c r="J247" s="52"/>
      <c r="K247" s="51" t="s">
        <v>109</v>
      </c>
    </row>
    <row r="248" spans="3:9" ht="12.75">
      <c r="C248" t="s">
        <v>136</v>
      </c>
      <c r="E248" s="6"/>
      <c r="F248" s="6"/>
      <c r="G248" s="6"/>
      <c r="H248" s="6"/>
      <c r="I248" s="6"/>
    </row>
    <row r="249" spans="3:10" ht="12.75">
      <c r="C249">
        <v>1989</v>
      </c>
      <c r="E249" s="6"/>
      <c r="F249" s="6"/>
      <c r="G249" s="6"/>
      <c r="H249" s="54">
        <v>0.048</v>
      </c>
      <c r="I249" s="6"/>
      <c r="J249" s="50"/>
    </row>
    <row r="250" spans="3:11" ht="12.75">
      <c r="C250">
        <v>1990</v>
      </c>
      <c r="E250" s="11">
        <v>0.086</v>
      </c>
      <c r="F250" s="11"/>
      <c r="G250" s="11"/>
      <c r="H250" s="11">
        <v>0.054</v>
      </c>
      <c r="I250" s="11"/>
      <c r="J250" s="49"/>
      <c r="K250" s="11">
        <f>+E250-H250</f>
        <v>0.031999999999999994</v>
      </c>
    </row>
    <row r="251" spans="3:11" ht="12.75">
      <c r="C251">
        <v>1991</v>
      </c>
      <c r="E251" s="11">
        <v>0.081</v>
      </c>
      <c r="F251" s="11"/>
      <c r="G251" s="11"/>
      <c r="H251" s="11">
        <v>0.042</v>
      </c>
      <c r="I251" s="11"/>
      <c r="J251" s="49"/>
      <c r="K251" s="11">
        <f>+E251-H251</f>
        <v>0.039</v>
      </c>
    </row>
    <row r="252" spans="3:11" ht="12.75">
      <c r="C252">
        <v>1992</v>
      </c>
      <c r="E252" s="11">
        <v>0.077</v>
      </c>
      <c r="F252" s="11"/>
      <c r="G252" s="11"/>
      <c r="H252" s="11">
        <v>0.03</v>
      </c>
      <c r="I252" s="11"/>
      <c r="J252" s="49"/>
      <c r="K252" s="11">
        <f>+E252-H252</f>
        <v>0.047</v>
      </c>
    </row>
    <row r="253" spans="3:11" ht="12.75">
      <c r="C253">
        <v>1993</v>
      </c>
      <c r="E253" s="11">
        <v>0.066</v>
      </c>
      <c r="F253" s="11"/>
      <c r="G253" s="11"/>
      <c r="H253" s="11">
        <v>0.03</v>
      </c>
      <c r="I253" s="11"/>
      <c r="J253" s="49"/>
      <c r="K253" s="11">
        <f>+E253-H253</f>
        <v>0.036000000000000004</v>
      </c>
    </row>
    <row r="254" spans="3:11" ht="12.75">
      <c r="C254">
        <v>1994</v>
      </c>
      <c r="E254" s="11">
        <v>0.074</v>
      </c>
      <c r="F254" s="11"/>
      <c r="G254" s="11"/>
      <c r="H254" s="11">
        <v>0.026</v>
      </c>
      <c r="I254" s="11"/>
      <c r="J254" s="49"/>
      <c r="K254" s="11">
        <f>+E254-H254</f>
        <v>0.048</v>
      </c>
    </row>
    <row r="255" spans="3:11" ht="12.75">
      <c r="C255">
        <v>1995</v>
      </c>
      <c r="E255" s="11">
        <v>0.069</v>
      </c>
      <c r="F255" s="11"/>
      <c r="G255" s="11"/>
      <c r="H255" s="11">
        <v>0.028</v>
      </c>
      <c r="I255" s="11"/>
      <c r="J255" s="49"/>
      <c r="K255" s="11">
        <f aca="true" t="shared" si="17" ref="K255:K270">+E255-H255</f>
        <v>0.04100000000000001</v>
      </c>
    </row>
    <row r="256" spans="3:11" ht="12.75">
      <c r="C256">
        <v>1996</v>
      </c>
      <c r="E256" s="11">
        <v>0.0671</v>
      </c>
      <c r="F256" s="11"/>
      <c r="G256" s="11"/>
      <c r="H256" s="11">
        <v>0.03</v>
      </c>
      <c r="I256" s="11"/>
      <c r="J256" s="49"/>
      <c r="K256" s="11">
        <f t="shared" si="17"/>
        <v>0.03710000000000001</v>
      </c>
    </row>
    <row r="257" spans="3:11" ht="12.75">
      <c r="C257">
        <v>1997</v>
      </c>
      <c r="E257" s="11">
        <v>0.066</v>
      </c>
      <c r="F257" s="11"/>
      <c r="G257" s="11"/>
      <c r="H257" s="11">
        <v>0.023</v>
      </c>
      <c r="I257" s="11"/>
      <c r="J257" s="49"/>
      <c r="K257" s="11">
        <f t="shared" si="17"/>
        <v>0.043000000000000003</v>
      </c>
    </row>
    <row r="258" spans="3:11" ht="12.75">
      <c r="C258">
        <v>1998</v>
      </c>
      <c r="E258" s="11">
        <v>0.056</v>
      </c>
      <c r="F258" s="11"/>
      <c r="G258" s="11"/>
      <c r="H258" s="11">
        <v>0.016</v>
      </c>
      <c r="I258" s="11"/>
      <c r="J258" s="49"/>
      <c r="K258" s="11">
        <f t="shared" si="17"/>
        <v>0.04</v>
      </c>
    </row>
    <row r="259" spans="3:11" ht="12.75">
      <c r="C259">
        <v>1999</v>
      </c>
      <c r="E259" s="11">
        <v>0.0587</v>
      </c>
      <c r="F259" s="11"/>
      <c r="G259" s="11"/>
      <c r="H259" s="11">
        <v>0.022</v>
      </c>
      <c r="I259" s="11"/>
      <c r="J259" s="49"/>
      <c r="K259" s="11">
        <f t="shared" si="17"/>
        <v>0.0367</v>
      </c>
    </row>
    <row r="260" spans="3:11" ht="12.75">
      <c r="C260">
        <v>2000</v>
      </c>
      <c r="E260" s="11">
        <v>0.0594</v>
      </c>
      <c r="F260" s="11"/>
      <c r="G260" s="11"/>
      <c r="H260" s="55">
        <v>0.034</v>
      </c>
      <c r="I260" s="48"/>
      <c r="K260" s="11">
        <f t="shared" si="17"/>
        <v>0.0254</v>
      </c>
    </row>
    <row r="261" spans="3:11" ht="12.75">
      <c r="C261">
        <v>2001</v>
      </c>
      <c r="E261" s="11">
        <v>0.0549</v>
      </c>
      <c r="F261" s="11"/>
      <c r="G261" s="11"/>
      <c r="H261" s="11">
        <v>0.028</v>
      </c>
      <c r="I261" s="48"/>
      <c r="J261" s="49"/>
      <c r="K261" s="11">
        <f t="shared" si="17"/>
        <v>0.026899999999999997</v>
      </c>
    </row>
    <row r="262" spans="3:11" ht="12.75">
      <c r="C262">
        <v>2002</v>
      </c>
      <c r="E262" s="11">
        <v>0.0543</v>
      </c>
      <c r="F262" s="11"/>
      <c r="G262" s="11"/>
      <c r="H262" s="11">
        <v>0.016</v>
      </c>
      <c r="I262" s="48"/>
      <c r="J262" s="49"/>
      <c r="K262" s="11">
        <f t="shared" si="17"/>
        <v>0.0383</v>
      </c>
    </row>
    <row r="263" spans="3:11" ht="12.75">
      <c r="C263">
        <v>2003</v>
      </c>
      <c r="E263" s="53">
        <v>0.053</v>
      </c>
      <c r="F263" s="57" t="s">
        <v>139</v>
      </c>
      <c r="G263" s="11"/>
      <c r="H263" s="11">
        <v>0.023</v>
      </c>
      <c r="I263" s="48"/>
      <c r="J263" s="49"/>
      <c r="K263" s="11">
        <f t="shared" si="17"/>
        <v>0.03</v>
      </c>
    </row>
    <row r="264" spans="3:11" ht="12.75">
      <c r="C264">
        <v>2004</v>
      </c>
      <c r="E264" s="53">
        <v>0.052</v>
      </c>
      <c r="F264" s="11"/>
      <c r="G264" s="11"/>
      <c r="H264" s="11">
        <v>0.027</v>
      </c>
      <c r="I264" s="48"/>
      <c r="J264" s="49"/>
      <c r="K264" s="11">
        <f t="shared" si="17"/>
        <v>0.024999999999999998</v>
      </c>
    </row>
    <row r="265" spans="3:11" ht="12.75">
      <c r="C265">
        <v>2005</v>
      </c>
      <c r="E265" s="53">
        <v>0.05</v>
      </c>
      <c r="F265" s="11"/>
      <c r="G265" s="11"/>
      <c r="H265" s="11">
        <v>0.034</v>
      </c>
      <c r="I265" s="48"/>
      <c r="J265" s="49"/>
      <c r="K265" s="11">
        <f t="shared" si="17"/>
        <v>0.016</v>
      </c>
    </row>
    <row r="266" spans="3:11" ht="12.75">
      <c r="C266">
        <v>2006</v>
      </c>
      <c r="E266" s="11">
        <v>0.0491</v>
      </c>
      <c r="F266" s="11"/>
      <c r="G266" s="11"/>
      <c r="H266" s="11">
        <v>0.032</v>
      </c>
      <c r="I266" s="48"/>
      <c r="J266" s="49"/>
      <c r="K266" s="11">
        <f t="shared" si="17"/>
        <v>0.017099999999999997</v>
      </c>
    </row>
    <row r="267" spans="3:11" ht="12.75">
      <c r="C267">
        <v>2007</v>
      </c>
      <c r="E267" s="11">
        <v>0.0484</v>
      </c>
      <c r="F267" s="11"/>
      <c r="G267" s="11"/>
      <c r="H267" s="11">
        <v>0.028</v>
      </c>
      <c r="I267" s="48"/>
      <c r="J267" s="49"/>
      <c r="K267" s="11">
        <f t="shared" si="17"/>
        <v>0.020399999999999998</v>
      </c>
    </row>
    <row r="268" spans="3:11" ht="12.75">
      <c r="C268">
        <v>2008</v>
      </c>
      <c r="E268" s="11">
        <v>0.0428</v>
      </c>
      <c r="F268" s="11"/>
      <c r="G268" s="11"/>
      <c r="H268" s="11">
        <v>0.038</v>
      </c>
      <c r="I268" s="48"/>
      <c r="J268" s="49"/>
      <c r="K268" s="11">
        <f t="shared" si="17"/>
        <v>0.004799999999999999</v>
      </c>
    </row>
    <row r="269" spans="3:11" ht="12.75">
      <c r="C269">
        <v>2009</v>
      </c>
      <c r="E269" s="11">
        <v>0.0408</v>
      </c>
      <c r="F269" s="11"/>
      <c r="G269" s="11"/>
      <c r="H269" s="11">
        <v>-0.004</v>
      </c>
      <c r="I269" s="48"/>
      <c r="J269" s="49"/>
      <c r="K269" s="11">
        <f t="shared" si="17"/>
        <v>0.044800000000000006</v>
      </c>
    </row>
    <row r="270" spans="3:11" ht="12.75">
      <c r="C270">
        <v>2010</v>
      </c>
      <c r="E270" s="11">
        <v>0.0425</v>
      </c>
      <c r="F270" s="11"/>
      <c r="G270" s="11"/>
      <c r="H270" s="11">
        <v>0.016</v>
      </c>
      <c r="I270" s="48"/>
      <c r="J270" s="49"/>
      <c r="K270" s="11">
        <f t="shared" si="17"/>
        <v>0.026500000000000003</v>
      </c>
    </row>
    <row r="271" ht="12.75">
      <c r="E271" s="46"/>
    </row>
    <row r="272" spans="3:11" ht="12.75">
      <c r="C272" t="s">
        <v>110</v>
      </c>
      <c r="E272" s="46">
        <f>AVERAGE(E250:E262)</f>
        <v>0.06687692307692308</v>
      </c>
      <c r="F272" s="46"/>
      <c r="H272" s="46">
        <f>AVERAGE(H250:H269)</f>
        <v>0.027850000000000014</v>
      </c>
      <c r="K272" s="46">
        <f>AVERAGE(K250:K262)</f>
        <v>0.03772307692307692</v>
      </c>
    </row>
    <row r="273" ht="12.75">
      <c r="E273" s="4"/>
    </row>
    <row r="274" spans="3:10" ht="12.75">
      <c r="C274" t="s">
        <v>111</v>
      </c>
      <c r="E274" t="s">
        <v>112</v>
      </c>
      <c r="J274" t="s">
        <v>113</v>
      </c>
    </row>
    <row r="275" ht="12.75">
      <c r="E275" t="s">
        <v>165</v>
      </c>
    </row>
    <row r="276" spans="5:10" ht="12.75">
      <c r="E276" t="s">
        <v>123</v>
      </c>
      <c r="J276" t="s">
        <v>114</v>
      </c>
    </row>
    <row r="277" ht="12.75">
      <c r="E277" t="s">
        <v>166</v>
      </c>
    </row>
    <row r="278" ht="12.75">
      <c r="H278" s="45"/>
    </row>
    <row r="279" spans="3:4" ht="12.75">
      <c r="C279" s="56" t="s">
        <v>137</v>
      </c>
      <c r="D279" t="s">
        <v>140</v>
      </c>
    </row>
    <row r="280" ht="12.75">
      <c r="D280" t="s">
        <v>138</v>
      </c>
    </row>
  </sheetData>
  <sheetProtection/>
  <printOptions gridLines="1" headings="1" horizontalCentered="1"/>
  <pageMargins left="0.49" right="0.51" top="0.48" bottom="0.5" header="0.51" footer="0.48"/>
  <pageSetup horizontalDpi="300" verticalDpi="300" orientation="portrait" r:id="rId1"/>
  <headerFooter alignWithMargins="0">
    <oddFooter>&amp;LName of Land Trust&amp;CPage &amp;P of &amp;N&amp;R&amp;D</oddFooter>
  </headerFooter>
  <rowBreaks count="5" manualBreakCount="5">
    <brk id="52" max="255" man="1"/>
    <brk id="97" max="255" man="1"/>
    <brk id="137" max="255" man="1"/>
    <brk id="183" max="255" man="1"/>
    <brk id="2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Kristie Virgoe</cp:lastModifiedBy>
  <cp:lastPrinted>2011-06-19T22:43:17Z</cp:lastPrinted>
  <dcterms:created xsi:type="dcterms:W3CDTF">1996-07-06T15:52:52Z</dcterms:created>
  <dcterms:modified xsi:type="dcterms:W3CDTF">2011-07-11T11:46:03Z</dcterms:modified>
  <cp:category/>
  <cp:version/>
  <cp:contentType/>
  <cp:contentStatus/>
</cp:coreProperties>
</file>